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sa\Desktop\СНТ Химик-2\Доки_ХИМИК\Собрание 2021\"/>
    </mc:Choice>
  </mc:AlternateContent>
  <bookViews>
    <workbookView xWindow="-120" yWindow="-120" windowWidth="24240" windowHeight="13140"/>
  </bookViews>
  <sheets>
    <sheet name="ФЭО 21-22" sheetId="9" r:id="rId1"/>
  </sheets>
  <definedNames>
    <definedName name="_xlnm.Print_Titles" localSheetId="0">'ФЭО 21-22'!$9:$9</definedName>
    <definedName name="_xlnm.Print_Area" localSheetId="0">'ФЭО 21-22'!$A$1:$K$150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4" i="9" l="1"/>
  <c r="I141" i="9"/>
  <c r="G138" i="9"/>
  <c r="H131" i="9"/>
  <c r="I131" i="9" s="1"/>
  <c r="H130" i="9"/>
  <c r="I130" i="9" s="1"/>
  <c r="H129" i="9"/>
  <c r="H128" i="9"/>
  <c r="I128" i="9" s="1"/>
  <c r="H127" i="9"/>
  <c r="H126" i="9"/>
  <c r="H125" i="9"/>
  <c r="H124" i="9"/>
  <c r="I124" i="9" s="1"/>
  <c r="H123" i="9"/>
  <c r="H122" i="9"/>
  <c r="I122" i="9" s="1"/>
  <c r="H13" i="9"/>
  <c r="I13" i="9" s="1"/>
  <c r="J140" i="9" l="1"/>
  <c r="H11" i="9"/>
  <c r="I11" i="9" s="1"/>
  <c r="H12" i="9"/>
  <c r="H14" i="9"/>
  <c r="H15" i="9"/>
  <c r="I15" i="9" s="1"/>
  <c r="G12" i="9"/>
  <c r="G14" i="9" l="1"/>
  <c r="G10" i="9" s="1"/>
  <c r="G16" i="9" s="1"/>
  <c r="I12" i="9"/>
  <c r="H31" i="9"/>
  <c r="J31" i="9"/>
  <c r="G32" i="9"/>
  <c r="H32" i="9"/>
  <c r="E33" i="9"/>
  <c r="H33" i="9"/>
  <c r="E34" i="9"/>
  <c r="G34" i="9" s="1"/>
  <c r="H34" i="9"/>
  <c r="E35" i="9"/>
  <c r="G35" i="9" s="1"/>
  <c r="H35" i="9"/>
  <c r="E36" i="9"/>
  <c r="G36" i="9" s="1"/>
  <c r="H36" i="9"/>
  <c r="H133" i="9"/>
  <c r="G133" i="9"/>
  <c r="G136" i="9" s="1"/>
  <c r="G129" i="9"/>
  <c r="I129" i="9" s="1"/>
  <c r="J125" i="9"/>
  <c r="J132" i="9" s="1"/>
  <c r="E125" i="9"/>
  <c r="G127" i="9"/>
  <c r="I127" i="9" s="1"/>
  <c r="G126" i="9"/>
  <c r="I126" i="9" s="1"/>
  <c r="J114" i="9"/>
  <c r="H114" i="9"/>
  <c r="H119" i="9"/>
  <c r="E119" i="9"/>
  <c r="G119" i="9" s="1"/>
  <c r="H118" i="9"/>
  <c r="E118" i="9"/>
  <c r="G118" i="9" s="1"/>
  <c r="H117" i="9"/>
  <c r="E117" i="9"/>
  <c r="G117" i="9" s="1"/>
  <c r="H116" i="9"/>
  <c r="E116" i="9"/>
  <c r="G116" i="9" s="1"/>
  <c r="H115" i="9"/>
  <c r="G115" i="9"/>
  <c r="H113" i="9"/>
  <c r="E113" i="9"/>
  <c r="G113" i="9" s="1"/>
  <c r="H112" i="9"/>
  <c r="E112" i="9"/>
  <c r="G112" i="9" s="1"/>
  <c r="H111" i="9"/>
  <c r="E111" i="9"/>
  <c r="G111" i="9" s="1"/>
  <c r="H110" i="9"/>
  <c r="E110" i="9"/>
  <c r="G110" i="9" s="1"/>
  <c r="H109" i="9"/>
  <c r="G109" i="9"/>
  <c r="J108" i="9"/>
  <c r="H108" i="9"/>
  <c r="J102" i="9"/>
  <c r="H102" i="9"/>
  <c r="H107" i="9"/>
  <c r="E107" i="9"/>
  <c r="G107" i="9" s="1"/>
  <c r="H106" i="9"/>
  <c r="E106" i="9"/>
  <c r="G106" i="9" s="1"/>
  <c r="H105" i="9"/>
  <c r="E105" i="9"/>
  <c r="G105" i="9" s="1"/>
  <c r="H104" i="9"/>
  <c r="E104" i="9"/>
  <c r="G104" i="9" s="1"/>
  <c r="H103" i="9"/>
  <c r="G103" i="9"/>
  <c r="J96" i="9"/>
  <c r="H96" i="9"/>
  <c r="H101" i="9"/>
  <c r="E101" i="9"/>
  <c r="G101" i="9" s="1"/>
  <c r="H100" i="9"/>
  <c r="E100" i="9"/>
  <c r="G100" i="9" s="1"/>
  <c r="H99" i="9"/>
  <c r="E99" i="9"/>
  <c r="G99" i="9" s="1"/>
  <c r="H98" i="9"/>
  <c r="E98" i="9"/>
  <c r="G98" i="9" s="1"/>
  <c r="H97" i="9"/>
  <c r="G97" i="9"/>
  <c r="J90" i="9"/>
  <c r="H90" i="9"/>
  <c r="H95" i="9"/>
  <c r="E95" i="9"/>
  <c r="G95" i="9" s="1"/>
  <c r="H94" i="9"/>
  <c r="E94" i="9"/>
  <c r="G94" i="9" s="1"/>
  <c r="H93" i="9"/>
  <c r="E93" i="9"/>
  <c r="G93" i="9" s="1"/>
  <c r="H92" i="9"/>
  <c r="E92" i="9"/>
  <c r="G92" i="9" s="1"/>
  <c r="H91" i="9"/>
  <c r="G91" i="9"/>
  <c r="J84" i="9"/>
  <c r="H84" i="9"/>
  <c r="H89" i="9"/>
  <c r="E89" i="9"/>
  <c r="G89" i="9" s="1"/>
  <c r="H88" i="9"/>
  <c r="E88" i="9"/>
  <c r="G88" i="9" s="1"/>
  <c r="H87" i="9"/>
  <c r="E87" i="9"/>
  <c r="G87" i="9" s="1"/>
  <c r="H86" i="9"/>
  <c r="E86" i="9"/>
  <c r="G86" i="9" s="1"/>
  <c r="H85" i="9"/>
  <c r="G85" i="9"/>
  <c r="E83" i="9"/>
  <c r="G83" i="9" s="1"/>
  <c r="J78" i="9"/>
  <c r="H78" i="9"/>
  <c r="H83" i="9"/>
  <c r="H82" i="9"/>
  <c r="E82" i="9"/>
  <c r="G82" i="9" s="1"/>
  <c r="H81" i="9"/>
  <c r="E81" i="9"/>
  <c r="G81" i="9" s="1"/>
  <c r="H80" i="9"/>
  <c r="E80" i="9"/>
  <c r="G80" i="9" s="1"/>
  <c r="H79" i="9"/>
  <c r="G79" i="9"/>
  <c r="J69" i="9"/>
  <c r="H69" i="9"/>
  <c r="H74" i="9"/>
  <c r="E74" i="9"/>
  <c r="G74" i="9" s="1"/>
  <c r="H73" i="9"/>
  <c r="E73" i="9"/>
  <c r="G73" i="9" s="1"/>
  <c r="H72" i="9"/>
  <c r="E72" i="9"/>
  <c r="G72" i="9" s="1"/>
  <c r="H71" i="9"/>
  <c r="E71" i="9"/>
  <c r="G71" i="9" s="1"/>
  <c r="H70" i="9"/>
  <c r="G70" i="9"/>
  <c r="J63" i="9"/>
  <c r="H63" i="9"/>
  <c r="H68" i="9"/>
  <c r="E68" i="9"/>
  <c r="G68" i="9" s="1"/>
  <c r="H67" i="9"/>
  <c r="E67" i="9"/>
  <c r="G67" i="9" s="1"/>
  <c r="H66" i="9"/>
  <c r="E66" i="9"/>
  <c r="G66" i="9" s="1"/>
  <c r="H65" i="9"/>
  <c r="E65" i="9"/>
  <c r="G65" i="9" s="1"/>
  <c r="H64" i="9"/>
  <c r="G64" i="9"/>
  <c r="J57" i="9"/>
  <c r="H57" i="9"/>
  <c r="H62" i="9"/>
  <c r="E62" i="9"/>
  <c r="G62" i="9" s="1"/>
  <c r="H61" i="9"/>
  <c r="E61" i="9"/>
  <c r="G61" i="9" s="1"/>
  <c r="H60" i="9"/>
  <c r="E60" i="9"/>
  <c r="G60" i="9" s="1"/>
  <c r="H59" i="9"/>
  <c r="E59" i="9"/>
  <c r="G59" i="9" s="1"/>
  <c r="H58" i="9"/>
  <c r="G58" i="9"/>
  <c r="J51" i="9"/>
  <c r="H51" i="9"/>
  <c r="H56" i="9"/>
  <c r="E56" i="9"/>
  <c r="G56" i="9" s="1"/>
  <c r="H55" i="9"/>
  <c r="E55" i="9"/>
  <c r="G55" i="9" s="1"/>
  <c r="H54" i="9"/>
  <c r="E54" i="9"/>
  <c r="G54" i="9" s="1"/>
  <c r="H53" i="9"/>
  <c r="E53" i="9"/>
  <c r="G53" i="9" s="1"/>
  <c r="H52" i="9"/>
  <c r="G52" i="9"/>
  <c r="J45" i="9"/>
  <c r="H45" i="9"/>
  <c r="H50" i="9"/>
  <c r="E50" i="9"/>
  <c r="G50" i="9" s="1"/>
  <c r="H49" i="9"/>
  <c r="E49" i="9"/>
  <c r="G49" i="9" s="1"/>
  <c r="H48" i="9"/>
  <c r="E48" i="9"/>
  <c r="G48" i="9" s="1"/>
  <c r="H47" i="9"/>
  <c r="E47" i="9"/>
  <c r="G47" i="9" s="1"/>
  <c r="H46" i="9"/>
  <c r="G46" i="9"/>
  <c r="H43" i="9"/>
  <c r="I43" i="9" s="1"/>
  <c r="H42" i="9"/>
  <c r="E42" i="9"/>
  <c r="G42" i="9" s="1"/>
  <c r="H41" i="9"/>
  <c r="E41" i="9"/>
  <c r="G41" i="9" s="1"/>
  <c r="H40" i="9"/>
  <c r="E40" i="9"/>
  <c r="G40" i="9" s="1"/>
  <c r="H39" i="9"/>
  <c r="E39" i="9"/>
  <c r="G39" i="9" s="1"/>
  <c r="H38" i="9"/>
  <c r="G38" i="9"/>
  <c r="J37" i="9"/>
  <c r="J24" i="9"/>
  <c r="H37" i="9"/>
  <c r="E28" i="9"/>
  <c r="G28" i="9" s="1"/>
  <c r="F17" i="9"/>
  <c r="F20" i="9"/>
  <c r="H19" i="9"/>
  <c r="G19" i="9"/>
  <c r="H18" i="9"/>
  <c r="G18" i="9"/>
  <c r="H29" i="9"/>
  <c r="H28" i="9"/>
  <c r="H27" i="9"/>
  <c r="H26" i="9"/>
  <c r="E29" i="9"/>
  <c r="G29" i="9" s="1"/>
  <c r="E27" i="9"/>
  <c r="G27" i="9" s="1"/>
  <c r="E26" i="9"/>
  <c r="G26" i="9" s="1"/>
  <c r="G25" i="9"/>
  <c r="H23" i="9"/>
  <c r="G23" i="9"/>
  <c r="J142" i="9"/>
  <c r="I142" i="9"/>
  <c r="J136" i="9"/>
  <c r="J77" i="9"/>
  <c r="J16" i="9"/>
  <c r="H25" i="9"/>
  <c r="H24" i="9"/>
  <c r="H22" i="9"/>
  <c r="H21" i="9"/>
  <c r="G22" i="9"/>
  <c r="M7" i="9"/>
  <c r="H144" i="9"/>
  <c r="G142" i="9"/>
  <c r="H139" i="9"/>
  <c r="I139" i="9" s="1"/>
  <c r="H138" i="9"/>
  <c r="H137" i="9"/>
  <c r="G137" i="9"/>
  <c r="H135" i="9"/>
  <c r="I135" i="9" s="1"/>
  <c r="H134" i="9"/>
  <c r="I134" i="9" s="1"/>
  <c r="G123" i="9"/>
  <c r="I123" i="9" s="1"/>
  <c r="H120" i="9"/>
  <c r="H76" i="9"/>
  <c r="G76" i="9"/>
  <c r="G21" i="9"/>
  <c r="H10" i="9"/>
  <c r="I125" i="9" l="1"/>
  <c r="I132" i="9" s="1"/>
  <c r="I14" i="9"/>
  <c r="I10" i="9"/>
  <c r="I16" i="9" s="1"/>
  <c r="G140" i="9"/>
  <c r="J44" i="9"/>
  <c r="J121" i="9"/>
  <c r="E31" i="9"/>
  <c r="J75" i="9"/>
  <c r="I133" i="9"/>
  <c r="I136" i="9" s="1"/>
  <c r="I32" i="9"/>
  <c r="I36" i="9"/>
  <c r="I34" i="9"/>
  <c r="I35" i="9"/>
  <c r="G33" i="9"/>
  <c r="I33" i="9" s="1"/>
  <c r="I109" i="9"/>
  <c r="I111" i="9"/>
  <c r="I113" i="9"/>
  <c r="I116" i="9"/>
  <c r="I118" i="9"/>
  <c r="G125" i="9"/>
  <c r="G132" i="9" s="1"/>
  <c r="I99" i="9"/>
  <c r="I101" i="9"/>
  <c r="I47" i="9"/>
  <c r="I49" i="9"/>
  <c r="I58" i="9"/>
  <c r="I60" i="9"/>
  <c r="I62" i="9"/>
  <c r="I85" i="9"/>
  <c r="I87" i="9"/>
  <c r="I89" i="9"/>
  <c r="I110" i="9"/>
  <c r="I112" i="9"/>
  <c r="I115" i="9"/>
  <c r="I117" i="9"/>
  <c r="I119" i="9"/>
  <c r="E114" i="9"/>
  <c r="G114" i="9"/>
  <c r="I104" i="9"/>
  <c r="I106" i="9"/>
  <c r="E108" i="9"/>
  <c r="G108" i="9"/>
  <c r="I79" i="9"/>
  <c r="I81" i="9"/>
  <c r="I83" i="9"/>
  <c r="I92" i="9"/>
  <c r="I94" i="9"/>
  <c r="E90" i="9"/>
  <c r="E102" i="9"/>
  <c r="I80" i="9"/>
  <c r="I82" i="9"/>
  <c r="I46" i="9"/>
  <c r="I48" i="9"/>
  <c r="I50" i="9"/>
  <c r="I59" i="9"/>
  <c r="I61" i="9"/>
  <c r="I86" i="9"/>
  <c r="I88" i="9"/>
  <c r="E84" i="9"/>
  <c r="I91" i="9"/>
  <c r="I93" i="9"/>
  <c r="I95" i="9"/>
  <c r="I98" i="9"/>
  <c r="I100" i="9"/>
  <c r="E96" i="9"/>
  <c r="I103" i="9"/>
  <c r="I105" i="9"/>
  <c r="I107" i="9"/>
  <c r="G84" i="9"/>
  <c r="G90" i="9"/>
  <c r="G96" i="9"/>
  <c r="G102" i="9"/>
  <c r="I97" i="9"/>
  <c r="E78" i="9"/>
  <c r="G78" i="9"/>
  <c r="I53" i="9"/>
  <c r="I55" i="9"/>
  <c r="I64" i="9"/>
  <c r="I66" i="9"/>
  <c r="I68" i="9"/>
  <c r="I71" i="9"/>
  <c r="I73" i="9"/>
  <c r="I52" i="9"/>
  <c r="I54" i="9"/>
  <c r="I56" i="9"/>
  <c r="I65" i="9"/>
  <c r="I67" i="9"/>
  <c r="I70" i="9"/>
  <c r="I72" i="9"/>
  <c r="I74" i="9"/>
  <c r="E63" i="9"/>
  <c r="E69" i="9"/>
  <c r="E45" i="9"/>
  <c r="E57" i="9"/>
  <c r="E51" i="9"/>
  <c r="G69" i="9"/>
  <c r="G63" i="9"/>
  <c r="G57" i="9"/>
  <c r="G51" i="9"/>
  <c r="G45" i="9"/>
  <c r="G37" i="9"/>
  <c r="I38" i="9"/>
  <c r="I40" i="9"/>
  <c r="I42" i="9"/>
  <c r="I27" i="9"/>
  <c r="I22" i="9"/>
  <c r="I20" i="9" s="1"/>
  <c r="I28" i="9"/>
  <c r="G24" i="9"/>
  <c r="E24" i="9"/>
  <c r="I39" i="9"/>
  <c r="I41" i="9"/>
  <c r="E37" i="9"/>
  <c r="J18" i="9"/>
  <c r="J17" i="9" s="1"/>
  <c r="G20" i="9"/>
  <c r="G17" i="9"/>
  <c r="J21" i="9"/>
  <c r="J20" i="9" s="1"/>
  <c r="I19" i="9"/>
  <c r="I17" i="9" s="1"/>
  <c r="I26" i="9"/>
  <c r="I29" i="9"/>
  <c r="I138" i="9"/>
  <c r="I23" i="9"/>
  <c r="I25" i="9"/>
  <c r="I137" i="9"/>
  <c r="I76" i="9"/>
  <c r="I77" i="9" s="1"/>
  <c r="G77" i="9"/>
  <c r="J30" i="9" l="1"/>
  <c r="J143" i="9" s="1"/>
  <c r="G120" i="9"/>
  <c r="G121" i="9" s="1"/>
  <c r="I140" i="9"/>
  <c r="I31" i="9"/>
  <c r="G75" i="9"/>
  <c r="G31" i="9"/>
  <c r="G44" i="9" s="1"/>
  <c r="I108" i="9"/>
  <c r="I114" i="9"/>
  <c r="I78" i="9"/>
  <c r="I84" i="9"/>
  <c r="I57" i="9"/>
  <c r="I45" i="9"/>
  <c r="I90" i="9"/>
  <c r="I96" i="9"/>
  <c r="I102" i="9"/>
  <c r="I51" i="9"/>
  <c r="I69" i="9"/>
  <c r="I63" i="9"/>
  <c r="I37" i="9"/>
  <c r="I24" i="9"/>
  <c r="I30" i="9" s="1"/>
  <c r="G30" i="9"/>
  <c r="I44" i="9" l="1"/>
  <c r="I75" i="9"/>
  <c r="G143" i="9"/>
  <c r="I120" i="9"/>
  <c r="I121" i="9" s="1"/>
  <c r="J145" i="9"/>
  <c r="J152" i="9" l="1"/>
  <c r="I143" i="9"/>
  <c r="I144" i="9" l="1"/>
  <c r="I145" i="9" s="1"/>
  <c r="G145" i="9"/>
  <c r="I152" i="9" l="1"/>
</calcChain>
</file>

<file path=xl/sharedStrings.xml><?xml version="1.0" encoding="utf-8"?>
<sst xmlns="http://schemas.openxmlformats.org/spreadsheetml/2006/main" count="498" uniqueCount="243">
  <si>
    <t>1.1 Оплата электроэнергии по объектам общего пользования</t>
  </si>
  <si>
    <t>Мероприятия и статьи расходов</t>
  </si>
  <si>
    <t xml:space="preserve">Количественные показатели </t>
  </si>
  <si>
    <t xml:space="preserve">подитог: </t>
  </si>
  <si>
    <t xml:space="preserve">1.2 Обслуживание и ремонт энергохозяйства </t>
  </si>
  <si>
    <t>подитог:</t>
  </si>
  <si>
    <t>1.3 Обслуживание и ремонт объектов водоснабжения</t>
  </si>
  <si>
    <t>1.4 Обслуживание территории СНТ</t>
  </si>
  <si>
    <t>Председатель</t>
  </si>
  <si>
    <t>Бухгалтер</t>
  </si>
  <si>
    <t>Завхоз</t>
  </si>
  <si>
    <t>НДФЛ</t>
  </si>
  <si>
    <t>ФСС</t>
  </si>
  <si>
    <t>Почтовые расходы</t>
  </si>
  <si>
    <t>Подитог:</t>
  </si>
  <si>
    <t>Ответственный за водоснабжение</t>
  </si>
  <si>
    <t>Смс-оповещение</t>
  </si>
  <si>
    <t>Уборка контейнерной площадки (май - октябрь)</t>
  </si>
  <si>
    <t>Уборка контейнерной площадки (ноябрь - апрель)</t>
  </si>
  <si>
    <t>Текущие расходы</t>
  </si>
  <si>
    <t>Расходные материалы (по факту)</t>
  </si>
  <si>
    <t>Водный налог (по факту)</t>
  </si>
  <si>
    <t>Отпускной фонд</t>
  </si>
  <si>
    <t>Ямочный ремонт (включая работы и материалы)</t>
  </si>
  <si>
    <t>Сторож (ноябрь-март)</t>
  </si>
  <si>
    <t>Вывоз ТБО</t>
  </si>
  <si>
    <t>ФОМС</t>
  </si>
  <si>
    <t>УСН (по факту)</t>
  </si>
  <si>
    <t>(рассылка писем, аренда лавочек и прочее) (по факту)</t>
  </si>
  <si>
    <t>Канцтовары (по факту)</t>
  </si>
  <si>
    <t>Стоимость информационного обслуживания определяется договором.</t>
  </si>
  <si>
    <t>1.5 Вывоз ТБО</t>
  </si>
  <si>
    <t>Стоимость замены светильника - 1 500 руб.</t>
  </si>
  <si>
    <t>ПФР (ТД + ГПХ)</t>
  </si>
  <si>
    <t>Обоснование / комментарии</t>
  </si>
  <si>
    <t>Критерий для расчета</t>
  </si>
  <si>
    <t>прямые</t>
  </si>
  <si>
    <t>не прямые</t>
  </si>
  <si>
    <t>-</t>
  </si>
  <si>
    <t>п 2 ст 346 11 НК РФ п 1 ст 2
ч 4 ст 7 Федерального закона от 02 04 2014 № 52 ФЗ</t>
  </si>
  <si>
    <t>Закон РФ "О недрах" от 21.02.1992 N 2395-1</t>
  </si>
  <si>
    <t>Необходимость соблюдения Пожарных норм и требований</t>
  </si>
  <si>
    <t>Необходимость обеспечения безпрепятственного доступа в пределах СНТ, а также комфортного передвижения садоводов</t>
  </si>
  <si>
    <t>Необходимость оперативного реагирования на возникающие проблемы с водопроводом для постоянной и бесперебойной эксплуатации</t>
  </si>
  <si>
    <t>Расходные материалы, необходимые для ремонта водопровода</t>
  </si>
  <si>
    <t xml:space="preserve">Стоимость светильника - 3 500 руб. </t>
  </si>
  <si>
    <t>Почтовые расходы для информирования садоводов и решения вопросов касающихся СНТ</t>
  </si>
  <si>
    <t>Оплата электроэнергии по объектам общего пользования</t>
  </si>
  <si>
    <t>Необходимость соблюдения пожарных норм и требований, предотвращение зарастания земель общего пользования</t>
  </si>
  <si>
    <t>Необходимость соблюдения пожарных норм и требований, предотвращение зарастания змель общего пользования</t>
  </si>
  <si>
    <t>Необходимое ПО для дистанционного взаимодействия с органами власти</t>
  </si>
  <si>
    <t>Необходимость оперативного информирования садоводов</t>
  </si>
  <si>
    <t>Непредвиденные расходы, связанные с обеспечением функционирования СНТ</t>
  </si>
  <si>
    <t>Вывоз ТБО осуществляется на паритетной основе с СНТ строитель. 
Оплата за вывоз контейнера производиться по 1/2 от тарифа.
Вывоз мусора осуществляется по догвору с региональным опреатором ООО «ЭкоЛайн-Воскресенск»
Тариф - 6 297,88 руб. за контейнер.
В связи с режимом изоляции в 2020 г. наблюдается фактический прирост количества ежемесячно вывозимых контейнеров, также в 2020/2021 гг. возможна индексация тарфиов.
Вывоз ТБО осуществляется на паритетной основе с СНТ строитель, оплата за вывоз контейнера производится по 1/2 от тарифа.</t>
  </si>
  <si>
    <t>В соответствии с ТК РФ</t>
  </si>
  <si>
    <t>Необходимость всегда быть на связи для оперативного решения возникающих вопросов, значительное количество исходящих звонков в ресурсоснабжающие организации, органы власти, сотрудникам СНТ.</t>
  </si>
  <si>
    <t>Затраты на организацию общих собраний</t>
  </si>
  <si>
    <t>Земельный налог</t>
  </si>
  <si>
    <t>Земли общего пользования:
кадастровая стоимость - 9 415 012 руб, ставка налога - 0,3%;
Земля под ВНБ:
кадастровая стоимость -2 530 руб, ставка налога - 1,5%;</t>
  </si>
  <si>
    <t>Исполнение обязанностей в соответствии с трудовым договором</t>
  </si>
  <si>
    <t>Исполнение обязанностей в соответствии с Уставом СНТСН "Химик-2"</t>
  </si>
  <si>
    <t>Норматив затрат, руб.</t>
  </si>
  <si>
    <t>Сумма, руб.</t>
  </si>
  <si>
    <t>С 1 кв. м., руб.</t>
  </si>
  <si>
    <t>Описание расчета взноса на участок</t>
  </si>
  <si>
    <t>Количество участков с установленными счетчиками электроэнергии типа "матрица", шт.</t>
  </si>
  <si>
    <t>Количество счетчиков электроэнергии типа "матрица" по имуществу общ. пользования, шт.</t>
  </si>
  <si>
    <t>общ польз</t>
  </si>
  <si>
    <t>Работы по замене светильников (Договор ГПХ)</t>
  </si>
  <si>
    <t>1.1.1</t>
  </si>
  <si>
    <t>1.2.1</t>
  </si>
  <si>
    <t>Абонентские счетчики</t>
  </si>
  <si>
    <t>Счетчики по имуществу общего пользования</t>
  </si>
  <si>
    <t>1.2.1.1</t>
  </si>
  <si>
    <t>1.3.1</t>
  </si>
  <si>
    <t>1.3.1.1</t>
  </si>
  <si>
    <t>1.2.1.2</t>
  </si>
  <si>
    <t>1.3.1.2</t>
  </si>
  <si>
    <t xml:space="preserve">Информационное обслуживание (годовой договор)
(передача данных в ПАО "Мосэнергосбыт") </t>
  </si>
  <si>
    <t>Техническое обслуживание (годовой договор)
(ремонт и замена счетчиков, маршрутизатора)</t>
  </si>
  <si>
    <t>1.4.1</t>
  </si>
  <si>
    <t>1.4.2</t>
  </si>
  <si>
    <t>1.4.2.1</t>
  </si>
  <si>
    <t>1.4.2.2</t>
  </si>
  <si>
    <t>1.4.2.3</t>
  </si>
  <si>
    <t>1.4.2.4</t>
  </si>
  <si>
    <t>1.4.2.5</t>
  </si>
  <si>
    <t>Финансово-экономическое обоснование размера взносов и размера платы СНТСН "Химик-2" на 2021/2022 гг.
(с 01.08.2020 по 31.05.2021, включая фактические расходы за июнь и июль 2020 г.)</t>
  </si>
  <si>
    <t>1.2.2</t>
  </si>
  <si>
    <t>1.2.2.1</t>
  </si>
  <si>
    <t>1.2.2.2</t>
  </si>
  <si>
    <t>1.2.3</t>
  </si>
  <si>
    <t>1.2.4</t>
  </si>
  <si>
    <t>1.2.4.1</t>
  </si>
  <si>
    <t>1.2.4.2</t>
  </si>
  <si>
    <t>1.2.4.3</t>
  </si>
  <si>
    <t>1.2.4.4</t>
  </si>
  <si>
    <t>1.2.4.5</t>
  </si>
  <si>
    <t>Налог на доходы физических лиц (13%)</t>
  </si>
  <si>
    <t>Отчисления в ПФР, рассчитываются на сумму до вычета НДФЛ (22%)</t>
  </si>
  <si>
    <t>Отчисления в ФОМС, рассчитываются на сумму до вычета НДФЛ (5,1%)</t>
  </si>
  <si>
    <t>Отчисления в ФСС, рассчитываются на сумму до вычета НДФЛ (2,9%)</t>
  </si>
  <si>
    <t>Стоимость замены светильника, оплаиваемая физ. лицу после вычета НДФЛ</t>
  </si>
  <si>
    <t>Пуск - 2 500 руб., Закрытие - 2 500 руб. Разборка 2-х фланцевых содиненией, снятие и установка заглушки внутри соединения.</t>
  </si>
  <si>
    <t>Выплата исполнителю на руки (Договор ГПХ)</t>
  </si>
  <si>
    <t>Стоимость работ, оплаиваемая физ. лицу после вычета НДФЛ</t>
  </si>
  <si>
    <t>1.3.2</t>
  </si>
  <si>
    <t>1.3.3</t>
  </si>
  <si>
    <t>1.3.1.3</t>
  </si>
  <si>
    <t>1.3.2.4</t>
  </si>
  <si>
    <t>1.3.2.5</t>
  </si>
  <si>
    <t>1.3.1.4</t>
  </si>
  <si>
    <t>1.3.1.5</t>
  </si>
  <si>
    <t>Пуск/закрытие системы водоснабжения (скважина, башня, переключение режимов весна/осень) 
(Договор ГПХ)</t>
  </si>
  <si>
    <t>1.3.2.1</t>
  </si>
  <si>
    <t>1.3.2.2</t>
  </si>
  <si>
    <t>1.3.2.3</t>
  </si>
  <si>
    <t>Приобретение светильников взамен вышедших из строя</t>
  </si>
  <si>
    <t>Обслуживание общественного водопровода (ремонтные работы) (по факту) (Договор ГПХ)</t>
  </si>
  <si>
    <t>1.4.1.1</t>
  </si>
  <si>
    <t>1.4.1.2</t>
  </si>
  <si>
    <t>1.4.1.3</t>
  </si>
  <si>
    <t>1.4.1.4</t>
  </si>
  <si>
    <t>1.4.1.5</t>
  </si>
  <si>
    <t>Обрезка деревьев, кустов (Договор ГПХ)</t>
  </si>
  <si>
    <t>Очистка канав (Договор ГПХ)</t>
  </si>
  <si>
    <t>1.4.3</t>
  </si>
  <si>
    <t>1.4.3.1</t>
  </si>
  <si>
    <t>1.4.3.2</t>
  </si>
  <si>
    <t>1.4.3.3</t>
  </si>
  <si>
    <t>1.4.3.4</t>
  </si>
  <si>
    <t>1.4.3.5</t>
  </si>
  <si>
    <t>Расчистка дорог для безпрепятственного доступа садоводов в зимний период</t>
  </si>
  <si>
    <t>1.4.4</t>
  </si>
  <si>
    <t>1.4.4.1</t>
  </si>
  <si>
    <t>1.4.4.2</t>
  </si>
  <si>
    <t>1.4.4.3</t>
  </si>
  <si>
    <t>1.4.4.4</t>
  </si>
  <si>
    <t>1.4.4.5</t>
  </si>
  <si>
    <t>1.4.5</t>
  </si>
  <si>
    <t>Расчистка дорог от снега (Договор ГПХ)</t>
  </si>
  <si>
    <t>Окос общих земель (за услугу, с учетом расходных материалов) (Договор ГПХ)</t>
  </si>
  <si>
    <t>Зар. плата, оплаиваемая физ. лицу после вычета НДФЛ</t>
  </si>
  <si>
    <t>1.4.5.1</t>
  </si>
  <si>
    <t>1.4.5.2</t>
  </si>
  <si>
    <t>1.4.5.3</t>
  </si>
  <si>
    <t>1.4.5.4</t>
  </si>
  <si>
    <t>1.4.5.5</t>
  </si>
  <si>
    <t>1.6.1</t>
  </si>
  <si>
    <t>1.6.1.1</t>
  </si>
  <si>
    <t>1.6.1.2</t>
  </si>
  <si>
    <t>1.6.1.3</t>
  </si>
  <si>
    <t>1.6.1.4</t>
  </si>
  <si>
    <t>1.6.1.5</t>
  </si>
  <si>
    <t>Отчисления в ФСС, рассчитываются на сумму до вычета НДФЛ (3,1%)</t>
  </si>
  <si>
    <t>1.6.2</t>
  </si>
  <si>
    <t>1.6.2.1</t>
  </si>
  <si>
    <t>1.6.2.2</t>
  </si>
  <si>
    <t>1.6.2.3</t>
  </si>
  <si>
    <t>1.6.2.4</t>
  </si>
  <si>
    <t>1.6.2.5</t>
  </si>
  <si>
    <t>1.6.3</t>
  </si>
  <si>
    <t>1.6.3.1</t>
  </si>
  <si>
    <t>1.6.3.2</t>
  </si>
  <si>
    <t>1.6.3.3</t>
  </si>
  <si>
    <t>1.6.3.4</t>
  </si>
  <si>
    <t>1.6.3.5</t>
  </si>
  <si>
    <t>1.6.4</t>
  </si>
  <si>
    <t>1.6.4.1</t>
  </si>
  <si>
    <t>1.6.4.2</t>
  </si>
  <si>
    <t>1.6.4.3</t>
  </si>
  <si>
    <t>1.6.4.4</t>
  </si>
  <si>
    <t>1.6.4.5</t>
  </si>
  <si>
    <t>1.6.5</t>
  </si>
  <si>
    <t>1.6.5.1</t>
  </si>
  <si>
    <t>1.6.5.2</t>
  </si>
  <si>
    <t>1.6.5.3</t>
  </si>
  <si>
    <t>1.6.5.4</t>
  </si>
  <si>
    <t>1.6.5.5</t>
  </si>
  <si>
    <t>1.6.6</t>
  </si>
  <si>
    <t>1.6.6.1</t>
  </si>
  <si>
    <t>1.6.6.2</t>
  </si>
  <si>
    <t>1.6.6.3</t>
  </si>
  <si>
    <t>1.6.6.4</t>
  </si>
  <si>
    <t>1.6.6.5</t>
  </si>
  <si>
    <t>Заработная плата на руки</t>
  </si>
  <si>
    <t>1.6.7</t>
  </si>
  <si>
    <t>1.6.7.1</t>
  </si>
  <si>
    <t>1.6.7.2</t>
  </si>
  <si>
    <t>1.6.7.3</t>
  </si>
  <si>
    <t>1.6.7.4</t>
  </si>
  <si>
    <t>1.6.7.5</t>
  </si>
  <si>
    <t>Обслуживание банковского счета в Сбербанке</t>
  </si>
  <si>
    <t>Обслуживание ЭДО (Тензор, СБИС) - Годовая подписка на ПО для электронного документоборота с контрагентами и сдачи обязательной отчетности в органы власти</t>
  </si>
  <si>
    <t>Затраты на услуги мобильной связи</t>
  </si>
  <si>
    <t>Камера видеонаблюдения</t>
  </si>
  <si>
    <t>Безлимитный мобильный интернет для камеры видеонаблюдения</t>
  </si>
  <si>
    <t>1.6 Фонд оплаты труда</t>
  </si>
  <si>
    <t>1.7 Прочее</t>
  </si>
  <si>
    <t>Приобретение лазерного МФУ</t>
  </si>
  <si>
    <t>Необходимость сканирования и копирования документов</t>
  </si>
  <si>
    <t>Поддержание работы сайта СНТ для информирования садоводов (согласно Уставу является одних из методов оповещения правообладателей участков в СНТ.</t>
  </si>
  <si>
    <t>Обеспечение сбора взносов и платежей с правобладателей участков на территории СНТ</t>
  </si>
  <si>
    <t>Затраты на оплату заказных писем с претензиями об оплате задолженностей.
Затраты на госпошлины по делам, в которых СНТСН "Химик-2" выступает истцом.</t>
  </si>
  <si>
    <t>Услуги юриста (СНТ ответчик)</t>
  </si>
  <si>
    <t>Затраты на юридические услуги в целях обеспечения защиты интересов СНТСН "Химик-2", по судебным делам, в которых СНТ выступает ответчиком 
(в частности иски от 2-х собственников участков об оспаривании юридического факта наличия СНТ)</t>
  </si>
  <si>
    <t>Стоимость технического обслуживания определяется договором.</t>
  </si>
  <si>
    <t>1.1.2</t>
  </si>
  <si>
    <t>1.1.3</t>
  </si>
  <si>
    <t>1.1.4</t>
  </si>
  <si>
    <t>Уличное освещение</t>
  </si>
  <si>
    <t>Эл.энегия для эксплуатации скважины и ВНБ</t>
  </si>
  <si>
    <t>Оплата МСБТ потребленной электроэнергии абонентами без прямых договоров с МСБТ и не её оплативших</t>
  </si>
  <si>
    <t>1.1</t>
  </si>
  <si>
    <t>1.6.8</t>
  </si>
  <si>
    <t>1.9 Налоги 
(не включая НДФЛ, ПФР, ФСС, ФОМС):</t>
  </si>
  <si>
    <t>1.10.  Расходы на проведение собраний</t>
  </si>
  <si>
    <t>1.11. Непредвиденные расходы:</t>
  </si>
  <si>
    <t>Промежуточный итог(1.1-1.10):</t>
  </si>
  <si>
    <t>Промежуточный итог(1.1-1.11):</t>
  </si>
  <si>
    <t>Приложение № _ к протоколу общего собрания 
членов СНТСН "ХИМИК-2" № 1  от __.05.2021 г.</t>
  </si>
  <si>
    <t>С участка 
с эл. счетчиком "матрица", руб.</t>
  </si>
  <si>
    <t>Потери в эл. сетях СНТ (абоненты +ВНБ), неучтенная эл.энегрия (потребление абонентов без счетчиков)</t>
  </si>
  <si>
    <t>1.1.5</t>
  </si>
  <si>
    <t>Потери на трансформаторе (холостой ход)</t>
  </si>
  <si>
    <t>Затраты на электроэнергию на освещение территории СНТ (35 светильников)</t>
  </si>
  <si>
    <t>Затраты на электроэнергию для насоса (мощность 17 кВт\ч), оплата по 1/2 с СНТ Строитель</t>
  </si>
  <si>
    <t>Затраты на электроэнергию - потери на трансформаторе (холостой ход), выставляется в счетах на СНТ, относится ко всем собственникам в СНТ.</t>
  </si>
  <si>
    <t>Затраты на погашение СНТ долга МСБТ за электроэнергию, потребленной абонентами без прямых договоров</t>
  </si>
  <si>
    <t>Затраты на электроэнергию - потери в сетях СНТ при потреблении эл. энергии всеми абонентами и насосом дял скважины, а также неучтенная эл.энегрия потребляемая абонентами с неисправными счетчиками.</t>
  </si>
  <si>
    <t>Может быть исключено в случае проведения работ в сезоне 2020/21  по установке дополнительных 2-х задвижек и модернизации схемы перевода скважины между режимами зима/лето</t>
  </si>
  <si>
    <t>Трактор из деревни (частный порядок) - физ.лицо, добавляются отчисления ~50% к стоимости работ.
Трактор из Егорьевска - дополнительно оплачивается подача (2.5-5т) + возможен заказ только на смену для нескольких СНТ</t>
  </si>
  <si>
    <t>Затраты на регистрацию Председателя,  заверение документов для судебных процессов, запросы выписок из ЕГРН и др.</t>
  </si>
  <si>
    <t>Нотариальные услуги, выписки из ЕГРН</t>
  </si>
  <si>
    <t>В соответствии с законодательством РФ  СНТ производит расчеты через Банк (затраты на ежеммесячное обслуживание и комиссии)</t>
  </si>
  <si>
    <t>Непредвиденные расходы, связанные с обеспечением функционирования СНТ:
- покрытие перерасхода по различным статьям затрат в условиях существенного увеличения постоянно  проживающих в условиях пандемии, влекущее непрогнозируемое потреблеине услуг.
- неуплата взносов правобладателями участков на территории СНТ, влекущее за собой бюджетный дефицит и риск отключение от эл. сетей МСБТ без возможности повторного подключения.</t>
  </si>
  <si>
    <r>
      <t xml:space="preserve">Взнос с участка </t>
    </r>
    <r>
      <rPr>
        <b/>
        <u/>
        <sz val="14"/>
        <color theme="1"/>
        <rFont val="Calibri"/>
        <family val="2"/>
        <charset val="204"/>
        <scheme val="minor"/>
      </rPr>
      <t>без</t>
    </r>
    <r>
      <rPr>
        <u/>
        <sz val="14"/>
        <color theme="1"/>
        <rFont val="Calibri"/>
        <family val="2"/>
        <charset val="204"/>
        <scheme val="minor"/>
      </rPr>
      <t xml:space="preserve"> счетчика типа "матрица"</t>
    </r>
    <r>
      <rPr>
        <sz val="14"/>
        <color theme="1"/>
        <rFont val="Calibri"/>
        <family val="2"/>
        <charset val="204"/>
        <scheme val="minor"/>
      </rPr>
      <t xml:space="preserve"> = </t>
    </r>
    <r>
      <rPr>
        <b/>
        <sz val="14"/>
        <color theme="1"/>
        <rFont val="Calibri"/>
        <family val="2"/>
        <charset val="204"/>
        <scheme val="minor"/>
      </rPr>
      <t>18,06 руб.</t>
    </r>
    <r>
      <rPr>
        <sz val="14"/>
        <color theme="1"/>
        <rFont val="Calibri"/>
        <family val="2"/>
        <charset val="204"/>
        <scheme val="minor"/>
      </rPr>
      <t xml:space="preserve"> х (площадь участка, кв.м.), руб.</t>
    </r>
  </si>
  <si>
    <r>
      <t>Взнос с участка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u/>
        <sz val="14"/>
        <color theme="1"/>
        <rFont val="Calibri"/>
        <family val="2"/>
        <charset val="204"/>
        <scheme val="minor"/>
      </rPr>
      <t>со</t>
    </r>
    <r>
      <rPr>
        <u/>
        <sz val="14"/>
        <color theme="1"/>
        <rFont val="Calibri"/>
        <family val="2"/>
        <charset val="204"/>
        <scheme val="minor"/>
      </rPr>
      <t xml:space="preserve"> счетчиком типа "матрица"</t>
    </r>
    <r>
      <rPr>
        <sz val="14"/>
        <color theme="1"/>
        <rFont val="Calibri"/>
        <family val="2"/>
        <charset val="204"/>
        <scheme val="minor"/>
      </rPr>
      <t xml:space="preserve"> = </t>
    </r>
    <r>
      <rPr>
        <b/>
        <sz val="14"/>
        <color theme="1"/>
        <rFont val="Calibri"/>
        <family val="2"/>
        <charset val="204"/>
        <scheme val="minor"/>
      </rPr>
      <t>770 руб. + 18,06 руб.</t>
    </r>
    <r>
      <rPr>
        <sz val="14"/>
        <color theme="1"/>
        <rFont val="Calibri"/>
        <family val="2"/>
        <charset val="204"/>
        <scheme val="minor"/>
      </rPr>
      <t xml:space="preserve"> х (площадь участка, кв.м.), руб.</t>
    </r>
  </si>
  <si>
    <t>Суммарная площадь участков садоводов (за вычетом площади участков, имеющих признаки вымороченного имущества, 
подлежащих изъятию государством в судебном порядке), м2</t>
  </si>
  <si>
    <t>Оплата электроэнергии по объектам общего пользования с учетом индексации тарифов на электроэнергию в 2021 г. и фактическими затратами в сезоне 2020/2021</t>
  </si>
  <si>
    <t>Зар. плата председателя из расчета 30 000 руб. в мес. на руки</t>
  </si>
  <si>
    <t>Приобретение канцтоваров для обеспечения работы Правления СНТ (зап. картриджи для МФУ, бумага и т.д.)</t>
  </si>
  <si>
    <t>Обслуживание сайта 
(оплата услуг хостинга и доменного имени)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</si>
</sst>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₽"/>
    <numFmt numFmtId="165" formatCode="#,##0.0000"/>
    <numFmt numFmtId="166" formatCode="0.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indexed="9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9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4" fontId="1" fillId="6" borderId="25" xfId="0" applyNumberFormat="1" applyFont="1" applyFill="1" applyBorder="1" applyAlignment="1">
      <alignment horizontal="center" vertical="center" wrapText="1"/>
    </xf>
    <xf numFmtId="4" fontId="1" fillId="6" borderId="17" xfId="0" applyNumberFormat="1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4" fontId="0" fillId="7" borderId="2" xfId="0" applyNumberForma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" fontId="4" fillId="6" borderId="31" xfId="0" applyNumberFormat="1" applyFont="1" applyFill="1" applyBorder="1" applyAlignment="1">
      <alignment horizontal="center" vertical="center" wrapText="1"/>
    </xf>
    <xf numFmtId="4" fontId="0" fillId="0" borderId="33" xfId="0" applyNumberFormat="1" applyFill="1" applyBorder="1" applyAlignment="1">
      <alignment horizontal="center" vertical="center" wrapText="1"/>
    </xf>
    <xf numFmtId="4" fontId="0" fillId="7" borderId="34" xfId="0" applyNumberForma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3" fontId="4" fillId="6" borderId="38" xfId="0" applyNumberFormat="1" applyFont="1" applyFill="1" applyBorder="1" applyAlignment="1">
      <alignment horizontal="center" vertical="center" wrapText="1"/>
    </xf>
    <xf numFmtId="3" fontId="0" fillId="7" borderId="0" xfId="0" applyNumberForma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left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left" vertical="center" wrapText="1"/>
    </xf>
    <xf numFmtId="9" fontId="0" fillId="0" borderId="16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5" xfId="0" applyNumberFormat="1" applyFill="1" applyBorder="1" applyAlignment="1">
      <alignment horizontal="center" vertical="center" wrapText="1"/>
    </xf>
    <xf numFmtId="166" fontId="0" fillId="0" borderId="19" xfId="0" applyNumberForma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6" fontId="4" fillId="6" borderId="13" xfId="0" applyNumberFormat="1" applyFont="1" applyFill="1" applyBorder="1" applyAlignment="1">
      <alignment horizontal="center" vertical="center" wrapText="1"/>
    </xf>
    <xf numFmtId="166" fontId="0" fillId="7" borderId="21" xfId="0" applyNumberFormat="1" applyFill="1" applyBorder="1" applyAlignment="1">
      <alignment horizontal="center" vertical="center" wrapText="1"/>
    </xf>
    <xf numFmtId="166" fontId="0" fillId="0" borderId="28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7" xfId="0" applyNumberFormat="1" applyFont="1" applyFill="1" applyBorder="1" applyAlignment="1">
      <alignment horizontal="left" vertical="center" wrapText="1"/>
    </xf>
    <xf numFmtId="166" fontId="5" fillId="0" borderId="5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5" fontId="4" fillId="6" borderId="22" xfId="0" applyNumberFormat="1" applyFont="1" applyFill="1" applyBorder="1" applyAlignment="1">
      <alignment horizontal="center" vertical="center" wrapText="1"/>
    </xf>
    <xf numFmtId="4" fontId="4" fillId="6" borderId="43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0" fillId="0" borderId="7" xfId="0" applyFill="1" applyBorder="1" applyAlignment="1">
      <alignment horizontal="left" vertical="center" wrapText="1" indent="2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" fillId="6" borderId="53" xfId="0" applyNumberFormat="1" applyFont="1" applyFill="1" applyBorder="1" applyAlignment="1">
      <alignment horizontal="left" vertical="center" wrapText="1"/>
    </xf>
    <xf numFmtId="49" fontId="1" fillId="2" borderId="53" xfId="0" applyNumberFormat="1" applyFont="1" applyFill="1" applyBorder="1" applyAlignment="1">
      <alignment horizontal="left" vertical="center" wrapText="1"/>
    </xf>
    <xf numFmtId="49" fontId="1" fillId="2" borderId="23" xfId="0" applyNumberFormat="1" applyFont="1" applyFill="1" applyBorder="1" applyAlignment="1">
      <alignment horizontal="left" vertical="center" wrapText="1"/>
    </xf>
    <xf numFmtId="49" fontId="1" fillId="6" borderId="27" xfId="0" applyNumberFormat="1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left" vertical="center" wrapText="1"/>
    </xf>
    <xf numFmtId="49" fontId="1" fillId="5" borderId="18" xfId="0" applyNumberFormat="1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indent="2"/>
    </xf>
    <xf numFmtId="0" fontId="4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left" vertical="center" wrapText="1"/>
    </xf>
    <xf numFmtId="4" fontId="0" fillId="0" borderId="17" xfId="0" applyNumberFormat="1" applyFill="1" applyBorder="1" applyAlignment="1">
      <alignment horizontal="left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left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 wrapText="1"/>
    </xf>
    <xf numFmtId="166" fontId="0" fillId="0" borderId="27" xfId="0" applyNumberFormat="1" applyFill="1" applyBorder="1" applyAlignment="1">
      <alignment horizontal="center" vertical="center" wrapText="1"/>
    </xf>
    <xf numFmtId="166" fontId="0" fillId="0" borderId="26" xfId="0" applyNumberFormat="1" applyFill="1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0" fillId="0" borderId="45" xfId="0" applyNumberFormat="1" applyFill="1" applyBorder="1" applyAlignment="1">
      <alignment horizontal="center" vertical="center" wrapText="1"/>
    </xf>
    <xf numFmtId="3" fontId="0" fillId="0" borderId="46" xfId="0" applyNumberFormat="1" applyFill="1" applyBorder="1" applyAlignment="1">
      <alignment horizontal="center" vertical="center" wrapText="1"/>
    </xf>
    <xf numFmtId="49" fontId="1" fillId="6" borderId="25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 indent="2"/>
    </xf>
    <xf numFmtId="4" fontId="5" fillId="0" borderId="14" xfId="0" applyNumberFormat="1" applyFont="1" applyFill="1" applyBorder="1" applyAlignment="1">
      <alignment horizontal="left" vertical="center" wrapText="1"/>
    </xf>
    <xf numFmtId="0" fontId="1" fillId="6" borderId="42" xfId="0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horizontal="center" vertical="center" wrapText="1"/>
    </xf>
    <xf numFmtId="165" fontId="4" fillId="6" borderId="21" xfId="0" applyNumberFormat="1" applyFont="1" applyFill="1" applyBorder="1" applyAlignment="1">
      <alignment horizontal="center" vertical="center" wrapText="1"/>
    </xf>
    <xf numFmtId="4" fontId="4" fillId="6" borderId="34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left" vertical="center" wrapText="1"/>
    </xf>
    <xf numFmtId="4" fontId="0" fillId="8" borderId="8" xfId="0" applyNumberFormat="1" applyFill="1" applyBorder="1" applyAlignment="1">
      <alignment horizontal="left" vertical="center" wrapText="1"/>
    </xf>
    <xf numFmtId="4" fontId="0" fillId="8" borderId="26" xfId="0" applyNumberForma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4" fontId="0" fillId="8" borderId="33" xfId="0" applyNumberForma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left" vertical="center" wrapText="1"/>
    </xf>
    <xf numFmtId="4" fontId="8" fillId="0" borderId="5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wrapText="1"/>
    </xf>
    <xf numFmtId="3" fontId="8" fillId="6" borderId="24" xfId="0" applyNumberFormat="1" applyFont="1" applyFill="1" applyBorder="1" applyAlignment="1">
      <alignment horizontal="center" vertical="center" wrapText="1"/>
    </xf>
    <xf numFmtId="165" fontId="8" fillId="6" borderId="2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left" vertical="center" wrapText="1" indent="1"/>
    </xf>
    <xf numFmtId="49" fontId="9" fillId="2" borderId="27" xfId="0" applyNumberFormat="1" applyFont="1" applyFill="1" applyBorder="1" applyAlignment="1">
      <alignment horizontal="left" vertical="center" wrapText="1" indent="1"/>
    </xf>
    <xf numFmtId="49" fontId="9" fillId="2" borderId="12" xfId="0" applyNumberFormat="1" applyFont="1" applyFill="1" applyBorder="1" applyAlignment="1">
      <alignment horizontal="left" vertical="center" wrapText="1" indent="1"/>
    </xf>
    <xf numFmtId="49" fontId="9" fillId="2" borderId="13" xfId="0" applyNumberFormat="1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165" fontId="8" fillId="0" borderId="28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9" fillId="2" borderId="51" xfId="0" applyNumberFormat="1" applyFont="1" applyFill="1" applyBorder="1" applyAlignment="1">
      <alignment horizontal="left" vertical="center" wrapText="1" indent="1"/>
    </xf>
    <xf numFmtId="4" fontId="0" fillId="0" borderId="59" xfId="0" applyNumberForma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0" fontId="8" fillId="0" borderId="18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166" fontId="4" fillId="0" borderId="3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4" fontId="4" fillId="8" borderId="11" xfId="0" applyNumberFormat="1" applyFont="1" applyFill="1" applyBorder="1" applyAlignment="1">
      <alignment horizontal="left" vertical="center" wrapText="1"/>
    </xf>
    <xf numFmtId="4" fontId="8" fillId="8" borderId="18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4" fontId="4" fillId="8" borderId="50" xfId="0" applyNumberFormat="1" applyFont="1" applyFill="1" applyBorder="1" applyAlignment="1">
      <alignment horizontal="center" vertical="center" wrapText="1"/>
    </xf>
    <xf numFmtId="166" fontId="8" fillId="8" borderId="10" xfId="0" applyNumberFormat="1" applyFont="1" applyFill="1" applyBorder="1" applyAlignment="1">
      <alignment horizontal="center" vertical="center" wrapText="1"/>
    </xf>
    <xf numFmtId="4" fontId="4" fillId="8" borderId="30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 indent="2"/>
    </xf>
    <xf numFmtId="4" fontId="5" fillId="8" borderId="1" xfId="0" applyNumberFormat="1" applyFont="1" applyFill="1" applyBorder="1" applyAlignment="1">
      <alignment horizontal="center" vertical="center" wrapText="1"/>
    </xf>
    <xf numFmtId="4" fontId="0" fillId="8" borderId="4" xfId="0" applyNumberFormat="1" applyFill="1" applyBorder="1" applyAlignment="1">
      <alignment horizontal="center" vertical="center" wrapText="1"/>
    </xf>
    <xf numFmtId="166" fontId="5" fillId="8" borderId="12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 indent="2"/>
    </xf>
    <xf numFmtId="4" fontId="0" fillId="8" borderId="1" xfId="0" applyNumberFormat="1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 indent="2"/>
    </xf>
    <xf numFmtId="4" fontId="5" fillId="8" borderId="14" xfId="0" applyNumberFormat="1" applyFont="1" applyFill="1" applyBorder="1" applyAlignment="1">
      <alignment horizontal="left" vertical="center" wrapText="1"/>
    </xf>
    <xf numFmtId="4" fontId="5" fillId="8" borderId="14" xfId="0" applyNumberFormat="1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4" fontId="0" fillId="8" borderId="56" xfId="0" applyNumberFormat="1" applyFill="1" applyBorder="1" applyAlignment="1">
      <alignment horizontal="center" vertical="center" wrapText="1"/>
    </xf>
    <xf numFmtId="166" fontId="5" fillId="8" borderId="13" xfId="0" applyNumberFormat="1" applyFont="1" applyFill="1" applyBorder="1" applyAlignment="1">
      <alignment horizontal="center" vertical="center" wrapText="1"/>
    </xf>
    <xf numFmtId="4" fontId="0" fillId="8" borderId="43" xfId="0" applyNumberForma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12" fontId="4" fillId="0" borderId="1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5" fontId="4" fillId="6" borderId="13" xfId="0" applyNumberFormat="1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 wrapText="1"/>
    </xf>
    <xf numFmtId="164" fontId="10" fillId="4" borderId="17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66" fontId="10" fillId="4" borderId="22" xfId="0" applyNumberFormat="1" applyFont="1" applyFill="1" applyBorder="1" applyAlignment="1">
      <alignment horizontal="center" vertical="center" wrapText="1"/>
    </xf>
    <xf numFmtId="164" fontId="10" fillId="4" borderId="43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tabSelected="1" topLeftCell="A169" zoomScale="70" zoomScaleNormal="70" workbookViewId="0">
      <selection activeCell="D7" sqref="D7:I7"/>
    </sheetView>
  </sheetViews>
  <sheetFormatPr defaultRowHeight="15" x14ac:dyDescent="0.25"/>
  <cols>
    <col min="1" max="1" width="19.28515625" style="4" customWidth="1"/>
    <col min="2" max="2" width="9.7109375" style="103" customWidth="1"/>
    <col min="3" max="3" width="52.5703125" style="4" customWidth="1"/>
    <col min="4" max="4" width="71.85546875" style="4" customWidth="1"/>
    <col min="5" max="5" width="10.5703125" style="4" customWidth="1"/>
    <col min="6" max="6" width="11.140625" style="4" customWidth="1"/>
    <col min="7" max="7" width="18.42578125" style="4" customWidth="1"/>
    <col min="8" max="8" width="11.42578125" style="4" customWidth="1"/>
    <col min="9" max="9" width="14" style="4" customWidth="1"/>
    <col min="10" max="10" width="14.85546875" style="4" customWidth="1"/>
    <col min="11" max="11" width="38.28515625" style="4" customWidth="1"/>
    <col min="12" max="12" width="10.42578125" style="4" customWidth="1"/>
    <col min="13" max="13" width="10.140625" style="4" customWidth="1"/>
    <col min="14" max="14" width="9.140625" style="4"/>
    <col min="15" max="15" width="17.28515625" style="4" customWidth="1"/>
    <col min="16" max="16384" width="9.140625" style="4"/>
  </cols>
  <sheetData>
    <row r="1" spans="1:14" ht="30" customHeight="1" x14ac:dyDescent="0.25">
      <c r="G1" s="296" t="s">
        <v>220</v>
      </c>
      <c r="H1" s="296"/>
      <c r="I1" s="296"/>
      <c r="J1" s="296"/>
    </row>
    <row r="2" spans="1:14" x14ac:dyDescent="0.25">
      <c r="G2" s="71"/>
      <c r="H2" s="71"/>
      <c r="I2" s="71"/>
      <c r="J2" s="71"/>
    </row>
    <row r="3" spans="1:14" ht="18.75" x14ac:dyDescent="0.25">
      <c r="A3" s="297" t="s">
        <v>87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4" x14ac:dyDescent="0.25">
      <c r="L4" s="4" t="s">
        <v>36</v>
      </c>
      <c r="M4" s="4">
        <v>166</v>
      </c>
    </row>
    <row r="5" spans="1:14" x14ac:dyDescent="0.25">
      <c r="A5" s="60"/>
      <c r="B5" s="104"/>
      <c r="C5" s="60"/>
      <c r="D5" s="298" t="s">
        <v>65</v>
      </c>
      <c r="E5" s="299"/>
      <c r="F5" s="299"/>
      <c r="G5" s="299"/>
      <c r="H5" s="299"/>
      <c r="I5" s="300"/>
      <c r="J5" s="67">
        <v>209</v>
      </c>
      <c r="L5" s="4" t="s">
        <v>37</v>
      </c>
      <c r="M5" s="4">
        <v>43</v>
      </c>
    </row>
    <row r="6" spans="1:14" x14ac:dyDescent="0.25">
      <c r="A6" s="60"/>
      <c r="B6" s="104"/>
      <c r="C6" s="60"/>
      <c r="D6" s="298" t="s">
        <v>66</v>
      </c>
      <c r="E6" s="299"/>
      <c r="F6" s="299"/>
      <c r="G6" s="299"/>
      <c r="H6" s="299"/>
      <c r="I6" s="300"/>
      <c r="J6" s="67">
        <v>3</v>
      </c>
      <c r="L6" s="4" t="s">
        <v>67</v>
      </c>
      <c r="M6" s="4">
        <v>3</v>
      </c>
    </row>
    <row r="7" spans="1:14" ht="33" customHeight="1" x14ac:dyDescent="0.25">
      <c r="A7" s="61"/>
      <c r="B7" s="105"/>
      <c r="C7" s="66"/>
      <c r="D7" s="301" t="s">
        <v>238</v>
      </c>
      <c r="E7" s="302"/>
      <c r="F7" s="302"/>
      <c r="G7" s="302"/>
      <c r="H7" s="302"/>
      <c r="I7" s="303"/>
      <c r="J7" s="72">
        <v>144252.66</v>
      </c>
      <c r="M7" s="4">
        <f>SUM(M4:M6)</f>
        <v>212</v>
      </c>
    </row>
    <row r="8" spans="1:14" ht="15.75" thickBot="1" x14ac:dyDescent="0.3">
      <c r="A8" s="61"/>
      <c r="B8" s="105"/>
      <c r="C8" s="61"/>
      <c r="D8" s="61"/>
      <c r="E8" s="61"/>
      <c r="F8" s="61"/>
      <c r="G8" s="61"/>
      <c r="H8" s="61"/>
      <c r="I8" s="61"/>
      <c r="J8" s="5"/>
    </row>
    <row r="9" spans="1:14" ht="75.75" thickBot="1" x14ac:dyDescent="0.3">
      <c r="A9" s="63" t="s">
        <v>19</v>
      </c>
      <c r="B9" s="106"/>
      <c r="C9" s="64" t="s">
        <v>1</v>
      </c>
      <c r="D9" s="64" t="s">
        <v>34</v>
      </c>
      <c r="E9" s="64" t="s">
        <v>61</v>
      </c>
      <c r="F9" s="64" t="s">
        <v>2</v>
      </c>
      <c r="G9" s="64" t="s">
        <v>62</v>
      </c>
      <c r="H9" s="65" t="s">
        <v>35</v>
      </c>
      <c r="I9" s="63" t="s">
        <v>63</v>
      </c>
      <c r="J9" s="272" t="s">
        <v>221</v>
      </c>
      <c r="N9" s="9"/>
    </row>
    <row r="10" spans="1:14" ht="50.25" customHeight="1" x14ac:dyDescent="0.25">
      <c r="A10" s="304" t="s">
        <v>0</v>
      </c>
      <c r="B10" s="118" t="s">
        <v>213</v>
      </c>
      <c r="C10" s="124" t="s">
        <v>47</v>
      </c>
      <c r="D10" s="171" t="s">
        <v>239</v>
      </c>
      <c r="E10" s="127"/>
      <c r="F10" s="127"/>
      <c r="G10" s="126">
        <f>SUM(G11:G15)</f>
        <v>216000</v>
      </c>
      <c r="H10" s="152">
        <f t="shared" ref="H10:H15" si="0">$J$7</f>
        <v>144252.66</v>
      </c>
      <c r="I10" s="267">
        <f>SUM(I11:I15)</f>
        <v>1.4973727347558095</v>
      </c>
      <c r="J10" s="271" t="s">
        <v>38</v>
      </c>
    </row>
    <row r="11" spans="1:14" ht="17.25" customHeight="1" x14ac:dyDescent="0.25">
      <c r="A11" s="305"/>
      <c r="B11" s="155" t="s">
        <v>69</v>
      </c>
      <c r="C11" s="206" t="s">
        <v>210</v>
      </c>
      <c r="D11" s="258" t="s">
        <v>225</v>
      </c>
      <c r="E11" s="215"/>
      <c r="F11" s="215"/>
      <c r="G11" s="184">
        <v>20000</v>
      </c>
      <c r="H11" s="96">
        <f t="shared" si="0"/>
        <v>144252.66</v>
      </c>
      <c r="I11" s="268">
        <f t="shared" ref="I11:I15" si="1">G11/H11</f>
        <v>0.13864562358850088</v>
      </c>
      <c r="J11" s="183" t="s">
        <v>38</v>
      </c>
    </row>
    <row r="12" spans="1:14" ht="30" x14ac:dyDescent="0.25">
      <c r="A12" s="305"/>
      <c r="B12" s="155" t="s">
        <v>207</v>
      </c>
      <c r="C12" s="206" t="s">
        <v>211</v>
      </c>
      <c r="D12" s="258" t="s">
        <v>226</v>
      </c>
      <c r="E12" s="184">
        <v>110000</v>
      </c>
      <c r="F12" s="259">
        <v>0.5</v>
      </c>
      <c r="G12" s="184">
        <f>E12*F12</f>
        <v>55000</v>
      </c>
      <c r="H12" s="96">
        <f t="shared" si="0"/>
        <v>144252.66</v>
      </c>
      <c r="I12" s="268">
        <f t="shared" si="1"/>
        <v>0.38127546486837743</v>
      </c>
      <c r="J12" s="183" t="s">
        <v>38</v>
      </c>
    </row>
    <row r="13" spans="1:14" ht="30" x14ac:dyDescent="0.25">
      <c r="A13" s="305"/>
      <c r="B13" s="155" t="s">
        <v>208</v>
      </c>
      <c r="C13" s="206" t="s">
        <v>224</v>
      </c>
      <c r="D13" s="258" t="s">
        <v>227</v>
      </c>
      <c r="E13" s="184"/>
      <c r="F13" s="259"/>
      <c r="G13" s="184">
        <v>45000</v>
      </c>
      <c r="H13" s="96">
        <f t="shared" si="0"/>
        <v>144252.66</v>
      </c>
      <c r="I13" s="268">
        <f t="shared" ref="I13" si="2">G13/H13</f>
        <v>0.31195265307412701</v>
      </c>
      <c r="J13" s="183" t="s">
        <v>38</v>
      </c>
    </row>
    <row r="14" spans="1:14" ht="45" x14ac:dyDescent="0.25">
      <c r="A14" s="305"/>
      <c r="B14" s="155" t="s">
        <v>209</v>
      </c>
      <c r="C14" s="206" t="s">
        <v>222</v>
      </c>
      <c r="D14" s="258" t="s">
        <v>229</v>
      </c>
      <c r="E14" s="215"/>
      <c r="F14" s="215"/>
      <c r="G14" s="184">
        <f>200000-G12-G11-G13</f>
        <v>80000</v>
      </c>
      <c r="H14" s="96">
        <f t="shared" si="0"/>
        <v>144252.66</v>
      </c>
      <c r="I14" s="268">
        <f t="shared" si="1"/>
        <v>0.55458249435400353</v>
      </c>
      <c r="J14" s="183" t="s">
        <v>38</v>
      </c>
    </row>
    <row r="15" spans="1:14" ht="45.75" thickBot="1" x14ac:dyDescent="0.3">
      <c r="A15" s="306"/>
      <c r="B15" s="260" t="s">
        <v>223</v>
      </c>
      <c r="C15" s="265" t="s">
        <v>212</v>
      </c>
      <c r="D15" s="262" t="s">
        <v>228</v>
      </c>
      <c r="E15" s="261"/>
      <c r="F15" s="261"/>
      <c r="G15" s="263">
        <v>16000</v>
      </c>
      <c r="H15" s="266">
        <f t="shared" si="0"/>
        <v>144252.66</v>
      </c>
      <c r="I15" s="269">
        <f t="shared" si="1"/>
        <v>0.11091649887080071</v>
      </c>
      <c r="J15" s="264" t="s">
        <v>38</v>
      </c>
    </row>
    <row r="16" spans="1:14" ht="15.75" thickBot="1" x14ac:dyDescent="0.3">
      <c r="A16" s="158" t="s">
        <v>3</v>
      </c>
      <c r="B16" s="159"/>
      <c r="C16" s="116"/>
      <c r="D16" s="116"/>
      <c r="E16" s="117"/>
      <c r="F16" s="116"/>
      <c r="G16" s="18">
        <f>SUM(G10:G10)</f>
        <v>216000</v>
      </c>
      <c r="H16" s="160"/>
      <c r="I16" s="161">
        <f>I10</f>
        <v>1.4973727347558095</v>
      </c>
      <c r="J16" s="162">
        <f>SUM(J10:J10)</f>
        <v>0</v>
      </c>
    </row>
    <row r="17" spans="1:11" ht="37.5" customHeight="1" x14ac:dyDescent="0.25">
      <c r="A17" s="293" t="s">
        <v>4</v>
      </c>
      <c r="B17" s="113" t="s">
        <v>70</v>
      </c>
      <c r="C17" s="124" t="s">
        <v>78</v>
      </c>
      <c r="D17" s="125" t="s">
        <v>30</v>
      </c>
      <c r="E17" s="126">
        <v>240</v>
      </c>
      <c r="F17" s="127">
        <f>F18+F19</f>
        <v>212</v>
      </c>
      <c r="G17" s="126">
        <f>G18+G19</f>
        <v>57240</v>
      </c>
      <c r="H17" s="144"/>
      <c r="I17" s="139">
        <f>SUM(I18:I19)</f>
        <v>5.6151477553342865E-3</v>
      </c>
      <c r="J17" s="128">
        <f t="shared" ref="J17" si="3">SUM(J18:J19)</f>
        <v>270</v>
      </c>
    </row>
    <row r="18" spans="1:11" x14ac:dyDescent="0.25">
      <c r="A18" s="294"/>
      <c r="B18" s="190" t="s">
        <v>73</v>
      </c>
      <c r="C18" s="99" t="s">
        <v>71</v>
      </c>
      <c r="D18" s="122"/>
      <c r="E18" s="2">
        <v>270</v>
      </c>
      <c r="F18" s="1">
        <v>209</v>
      </c>
      <c r="G18" s="2">
        <f>E18*F18</f>
        <v>56430</v>
      </c>
      <c r="H18" s="145">
        <f>$J$5</f>
        <v>209</v>
      </c>
      <c r="I18" s="140" t="s">
        <v>38</v>
      </c>
      <c r="J18" s="75">
        <f>G18/H18</f>
        <v>270</v>
      </c>
    </row>
    <row r="19" spans="1:11" ht="15.75" thickBot="1" x14ac:dyDescent="0.3">
      <c r="A19" s="294"/>
      <c r="B19" s="191" t="s">
        <v>76</v>
      </c>
      <c r="C19" s="119" t="s">
        <v>72</v>
      </c>
      <c r="D19" s="123"/>
      <c r="E19" s="120">
        <v>270</v>
      </c>
      <c r="F19" s="55">
        <v>3</v>
      </c>
      <c r="G19" s="120">
        <f>E19*F19</f>
        <v>810</v>
      </c>
      <c r="H19" s="121">
        <f>$J$7</f>
        <v>144252.66</v>
      </c>
      <c r="I19" s="141">
        <f>G19/H19</f>
        <v>5.6151477553342865E-3</v>
      </c>
      <c r="J19" s="121" t="s">
        <v>38</v>
      </c>
    </row>
    <row r="20" spans="1:11" ht="30" x14ac:dyDescent="0.25">
      <c r="A20" s="294"/>
      <c r="B20" s="113" t="s">
        <v>88</v>
      </c>
      <c r="C20" s="124" t="s">
        <v>79</v>
      </c>
      <c r="D20" s="125" t="s">
        <v>206</v>
      </c>
      <c r="E20" s="126">
        <v>500</v>
      </c>
      <c r="F20" s="127">
        <f>F21+F223</f>
        <v>209</v>
      </c>
      <c r="G20" s="126">
        <f>G21+G22</f>
        <v>106000</v>
      </c>
      <c r="H20" s="144"/>
      <c r="I20" s="139">
        <f>SUM(I21:I22)</f>
        <v>1.0398421769137568E-2</v>
      </c>
      <c r="J20" s="128">
        <f t="shared" ref="J20" si="4">SUM(J21:J22)</f>
        <v>500</v>
      </c>
    </row>
    <row r="21" spans="1:11" ht="20.25" customHeight="1" x14ac:dyDescent="0.25">
      <c r="A21" s="294"/>
      <c r="B21" s="190" t="s">
        <v>89</v>
      </c>
      <c r="C21" s="99" t="s">
        <v>71</v>
      </c>
      <c r="D21" s="47"/>
      <c r="E21" s="48">
        <v>500</v>
      </c>
      <c r="F21" s="46">
        <v>209</v>
      </c>
      <c r="G21" s="49">
        <f>E21*F21</f>
        <v>104500</v>
      </c>
      <c r="H21" s="146">
        <f>$J$5</f>
        <v>209</v>
      </c>
      <c r="I21" s="142" t="s">
        <v>38</v>
      </c>
      <c r="J21" s="34">
        <f>G21/H21</f>
        <v>500</v>
      </c>
    </row>
    <row r="22" spans="1:11" ht="21" customHeight="1" thickBot="1" x14ac:dyDescent="0.3">
      <c r="A22" s="294"/>
      <c r="B22" s="191" t="s">
        <v>90</v>
      </c>
      <c r="C22" s="119" t="s">
        <v>72</v>
      </c>
      <c r="D22" s="132"/>
      <c r="E22" s="133">
        <v>500</v>
      </c>
      <c r="F22" s="134">
        <v>3</v>
      </c>
      <c r="G22" s="135">
        <f>E22*F22</f>
        <v>1500</v>
      </c>
      <c r="H22" s="121">
        <f t="shared" ref="H22:H29" si="5">$J$7</f>
        <v>144252.66</v>
      </c>
      <c r="I22" s="143">
        <f>G22/H22</f>
        <v>1.0398421769137568E-2</v>
      </c>
      <c r="J22" s="137" t="s">
        <v>38</v>
      </c>
    </row>
    <row r="23" spans="1:11" ht="30.75" thickBot="1" x14ac:dyDescent="0.3">
      <c r="A23" s="294"/>
      <c r="B23" s="107" t="s">
        <v>91</v>
      </c>
      <c r="C23" s="175" t="s">
        <v>117</v>
      </c>
      <c r="D23" s="176" t="s">
        <v>45</v>
      </c>
      <c r="E23" s="177">
        <v>3500</v>
      </c>
      <c r="F23" s="178">
        <v>5</v>
      </c>
      <c r="G23" s="179">
        <f>E23*F23</f>
        <v>17500</v>
      </c>
      <c r="H23" s="180">
        <f t="shared" si="5"/>
        <v>144252.66</v>
      </c>
      <c r="I23" s="181">
        <f t="shared" ref="I23" si="6">G23/H23</f>
        <v>0.12131492063993829</v>
      </c>
      <c r="J23" s="182" t="s">
        <v>38</v>
      </c>
      <c r="K23" s="13"/>
    </row>
    <row r="24" spans="1:11" ht="24.75" customHeight="1" x14ac:dyDescent="0.25">
      <c r="A24" s="305"/>
      <c r="B24" s="118" t="s">
        <v>92</v>
      </c>
      <c r="C24" s="170" t="s">
        <v>68</v>
      </c>
      <c r="D24" s="148" t="s">
        <v>32</v>
      </c>
      <c r="E24" s="149">
        <f>SUM(E25:E29)</f>
        <v>2241.3793103448274</v>
      </c>
      <c r="F24" s="150">
        <v>5</v>
      </c>
      <c r="G24" s="149">
        <f>SUM(G25:G29)</f>
        <v>11206.896551724138</v>
      </c>
      <c r="H24" s="152">
        <f t="shared" si="5"/>
        <v>144252.66</v>
      </c>
      <c r="I24" s="153">
        <f>SUM(I25:I29)</f>
        <v>7.7689358045280682E-2</v>
      </c>
      <c r="J24" s="154">
        <f t="shared" ref="J24" si="7">SUM(J25:J29)</f>
        <v>0</v>
      </c>
      <c r="K24" s="13"/>
    </row>
    <row r="25" spans="1:11" ht="21.75" customHeight="1" x14ac:dyDescent="0.25">
      <c r="A25" s="305"/>
      <c r="B25" s="192" t="s">
        <v>93</v>
      </c>
      <c r="C25" s="101" t="s">
        <v>104</v>
      </c>
      <c r="D25" s="43" t="s">
        <v>102</v>
      </c>
      <c r="E25" s="44">
        <v>1500</v>
      </c>
      <c r="F25" s="45">
        <v>5</v>
      </c>
      <c r="G25" s="40">
        <f>E25*F25</f>
        <v>7500</v>
      </c>
      <c r="H25" s="87">
        <f t="shared" si="5"/>
        <v>144252.66</v>
      </c>
      <c r="I25" s="77">
        <f t="shared" ref="I25:I29" si="8">G25/H25</f>
        <v>5.1992108845687834E-2</v>
      </c>
      <c r="J25" s="41" t="s">
        <v>38</v>
      </c>
      <c r="K25" s="13"/>
    </row>
    <row r="26" spans="1:11" x14ac:dyDescent="0.25">
      <c r="A26" s="305"/>
      <c r="B26" s="192" t="s">
        <v>94</v>
      </c>
      <c r="C26" s="129" t="s">
        <v>11</v>
      </c>
      <c r="D26" s="43" t="s">
        <v>98</v>
      </c>
      <c r="E26" s="40">
        <f>E25/0.87*0.13</f>
        <v>224.13793103448276</v>
      </c>
      <c r="F26" s="45">
        <v>5</v>
      </c>
      <c r="G26" s="40">
        <f>E26*F26</f>
        <v>1120.6896551724137</v>
      </c>
      <c r="H26" s="87">
        <f t="shared" si="5"/>
        <v>144252.66</v>
      </c>
      <c r="I26" s="77">
        <f t="shared" si="8"/>
        <v>7.7689358045280668E-3</v>
      </c>
      <c r="J26" s="85" t="s">
        <v>38</v>
      </c>
      <c r="K26" s="13"/>
    </row>
    <row r="27" spans="1:11" x14ac:dyDescent="0.25">
      <c r="A27" s="305"/>
      <c r="B27" s="192" t="s">
        <v>95</v>
      </c>
      <c r="C27" s="129" t="s">
        <v>33</v>
      </c>
      <c r="D27" s="47" t="s">
        <v>99</v>
      </c>
      <c r="E27" s="40">
        <f>E25/0.87*0.22</f>
        <v>379.31034482758622</v>
      </c>
      <c r="F27" s="45">
        <v>5</v>
      </c>
      <c r="G27" s="40">
        <f>E27*F27</f>
        <v>1896.5517241379312</v>
      </c>
      <c r="H27" s="87">
        <f t="shared" si="5"/>
        <v>144252.66</v>
      </c>
      <c r="I27" s="77">
        <f t="shared" si="8"/>
        <v>1.31474298230475E-2</v>
      </c>
      <c r="J27" s="85" t="s">
        <v>38</v>
      </c>
      <c r="K27" s="13"/>
    </row>
    <row r="28" spans="1:11" x14ac:dyDescent="0.25">
      <c r="A28" s="305"/>
      <c r="B28" s="192" t="s">
        <v>96</v>
      </c>
      <c r="C28" s="129" t="s">
        <v>26</v>
      </c>
      <c r="D28" s="42" t="s">
        <v>100</v>
      </c>
      <c r="E28" s="40">
        <f>E25/0.87*0.051</f>
        <v>87.931034482758619</v>
      </c>
      <c r="F28" s="45">
        <v>5</v>
      </c>
      <c r="G28" s="40">
        <f>E28*F28</f>
        <v>439.65517241379308</v>
      </c>
      <c r="H28" s="87">
        <f t="shared" si="5"/>
        <v>144252.66</v>
      </c>
      <c r="I28" s="77">
        <f t="shared" si="8"/>
        <v>3.0478132771610111E-3</v>
      </c>
      <c r="J28" s="85" t="s">
        <v>38</v>
      </c>
      <c r="K28" s="13"/>
    </row>
    <row r="29" spans="1:11" ht="15.75" thickBot="1" x14ac:dyDescent="0.3">
      <c r="A29" s="306"/>
      <c r="B29" s="193" t="s">
        <v>97</v>
      </c>
      <c r="C29" s="156" t="s">
        <v>12</v>
      </c>
      <c r="D29" s="157" t="s">
        <v>101</v>
      </c>
      <c r="E29" s="91">
        <f>E25/0.87*0.029</f>
        <v>50</v>
      </c>
      <c r="F29" s="56">
        <v>5</v>
      </c>
      <c r="G29" s="91">
        <f>E29*F29</f>
        <v>250</v>
      </c>
      <c r="H29" s="136">
        <f t="shared" si="5"/>
        <v>144252.66</v>
      </c>
      <c r="I29" s="90">
        <f t="shared" si="8"/>
        <v>1.7330702948562611E-3</v>
      </c>
      <c r="J29" s="92" t="s">
        <v>38</v>
      </c>
      <c r="K29" s="13"/>
    </row>
    <row r="30" spans="1:11" ht="15.75" thickBot="1" x14ac:dyDescent="0.3">
      <c r="A30" s="163" t="s">
        <v>5</v>
      </c>
      <c r="B30" s="147"/>
      <c r="C30" s="16"/>
      <c r="D30" s="16"/>
      <c r="E30" s="20"/>
      <c r="F30" s="16"/>
      <c r="G30" s="21">
        <f>SUM(G17,G20,G23,G24)</f>
        <v>191946.89655172414</v>
      </c>
      <c r="H30" s="86"/>
      <c r="I30" s="88">
        <f t="shared" ref="I30:J30" si="9">SUM(I17,I20,I23,I24)</f>
        <v>0.21501784820969083</v>
      </c>
      <c r="J30" s="89">
        <f t="shared" si="9"/>
        <v>770</v>
      </c>
    </row>
    <row r="31" spans="1:11" ht="55.5" customHeight="1" x14ac:dyDescent="0.25">
      <c r="A31" s="304" t="s">
        <v>6</v>
      </c>
      <c r="B31" s="164" t="s">
        <v>74</v>
      </c>
      <c r="C31" s="238" t="s">
        <v>113</v>
      </c>
      <c r="D31" s="239" t="s">
        <v>103</v>
      </c>
      <c r="E31" s="240">
        <f>SUM(E32:E36)</f>
        <v>3735.632183908046</v>
      </c>
      <c r="F31" s="241">
        <v>2</v>
      </c>
      <c r="G31" s="240">
        <f>SUM(G32:G36)</f>
        <v>7471.2643678160921</v>
      </c>
      <c r="H31" s="242">
        <f t="shared" ref="H31:H43" si="10">$J$7</f>
        <v>144252.66</v>
      </c>
      <c r="I31" s="243">
        <f>SUM(I32:I36)</f>
        <v>5.1792905363520436E-2</v>
      </c>
      <c r="J31" s="244">
        <f t="shared" ref="J31" si="11">SUM(J32:J36)</f>
        <v>0</v>
      </c>
      <c r="K31" s="308" t="s">
        <v>230</v>
      </c>
    </row>
    <row r="32" spans="1:11" ht="18" customHeight="1" x14ac:dyDescent="0.25">
      <c r="A32" s="305"/>
      <c r="B32" s="192" t="s">
        <v>75</v>
      </c>
      <c r="C32" s="245" t="s">
        <v>104</v>
      </c>
      <c r="D32" s="169" t="s">
        <v>105</v>
      </c>
      <c r="E32" s="166">
        <v>2500</v>
      </c>
      <c r="F32" s="167">
        <v>2</v>
      </c>
      <c r="G32" s="246">
        <f>E32*F32</f>
        <v>5000</v>
      </c>
      <c r="H32" s="247">
        <f t="shared" si="10"/>
        <v>144252.66</v>
      </c>
      <c r="I32" s="248">
        <f t="shared" ref="I32" si="12">G32/H32</f>
        <v>3.4661405897125221E-2</v>
      </c>
      <c r="J32" s="168" t="s">
        <v>38</v>
      </c>
      <c r="K32" s="308"/>
    </row>
    <row r="33" spans="1:11" x14ac:dyDescent="0.25">
      <c r="A33" s="305"/>
      <c r="B33" s="192" t="s">
        <v>77</v>
      </c>
      <c r="C33" s="249" t="s">
        <v>11</v>
      </c>
      <c r="D33" s="169" t="s">
        <v>98</v>
      </c>
      <c r="E33" s="246">
        <f>E32/0.87*0.13</f>
        <v>373.56321839080459</v>
      </c>
      <c r="F33" s="167">
        <v>2</v>
      </c>
      <c r="G33" s="246">
        <f>E33*F33</f>
        <v>747.12643678160919</v>
      </c>
      <c r="H33" s="247">
        <f t="shared" si="10"/>
        <v>144252.66</v>
      </c>
      <c r="I33" s="248">
        <f t="shared" ref="I33:I36" si="13">G33/H33</f>
        <v>5.1792905363520448E-3</v>
      </c>
      <c r="J33" s="168" t="s">
        <v>38</v>
      </c>
      <c r="K33" s="308"/>
    </row>
    <row r="34" spans="1:11" x14ac:dyDescent="0.25">
      <c r="A34" s="305"/>
      <c r="B34" s="192" t="s">
        <v>108</v>
      </c>
      <c r="C34" s="249" t="s">
        <v>33</v>
      </c>
      <c r="D34" s="165" t="s">
        <v>99</v>
      </c>
      <c r="E34" s="246">
        <f>E32/0.87*0.22</f>
        <v>632.18390804597698</v>
      </c>
      <c r="F34" s="167">
        <v>2</v>
      </c>
      <c r="G34" s="246">
        <f>E34*F34</f>
        <v>1264.367816091954</v>
      </c>
      <c r="H34" s="247">
        <f t="shared" si="10"/>
        <v>144252.66</v>
      </c>
      <c r="I34" s="248">
        <f t="shared" si="13"/>
        <v>8.7649532153649991E-3</v>
      </c>
      <c r="J34" s="168" t="s">
        <v>38</v>
      </c>
      <c r="K34" s="308"/>
    </row>
    <row r="35" spans="1:11" x14ac:dyDescent="0.25">
      <c r="A35" s="305"/>
      <c r="B35" s="192" t="s">
        <v>111</v>
      </c>
      <c r="C35" s="249" t="s">
        <v>26</v>
      </c>
      <c r="D35" s="250" t="s">
        <v>100</v>
      </c>
      <c r="E35" s="246">
        <f>E32/0.87*0.051</f>
        <v>146.55172413793102</v>
      </c>
      <c r="F35" s="167">
        <v>2</v>
      </c>
      <c r="G35" s="246">
        <f>E35*F35</f>
        <v>293.10344827586204</v>
      </c>
      <c r="H35" s="247">
        <f t="shared" si="10"/>
        <v>144252.66</v>
      </c>
      <c r="I35" s="248">
        <f t="shared" si="13"/>
        <v>2.0318755181073403E-3</v>
      </c>
      <c r="J35" s="168" t="s">
        <v>38</v>
      </c>
      <c r="K35" s="308"/>
    </row>
    <row r="36" spans="1:11" ht="15.75" thickBot="1" x14ac:dyDescent="0.3">
      <c r="A36" s="305"/>
      <c r="B36" s="192" t="s">
        <v>112</v>
      </c>
      <c r="C36" s="251" t="s">
        <v>12</v>
      </c>
      <c r="D36" s="252" t="s">
        <v>101</v>
      </c>
      <c r="E36" s="253">
        <f>E32/0.87*0.029</f>
        <v>83.333333333333343</v>
      </c>
      <c r="F36" s="254">
        <v>2</v>
      </c>
      <c r="G36" s="253">
        <f>E36*F36</f>
        <v>166.66666666666669</v>
      </c>
      <c r="H36" s="255">
        <f t="shared" si="10"/>
        <v>144252.66</v>
      </c>
      <c r="I36" s="256">
        <f t="shared" si="13"/>
        <v>1.1553801965708409E-3</v>
      </c>
      <c r="J36" s="257" t="s">
        <v>38</v>
      </c>
      <c r="K36" s="308"/>
    </row>
    <row r="37" spans="1:11" ht="30" x14ac:dyDescent="0.25">
      <c r="A37" s="305"/>
      <c r="B37" s="164" t="s">
        <v>106</v>
      </c>
      <c r="C37" s="170" t="s">
        <v>118</v>
      </c>
      <c r="D37" s="148" t="s">
        <v>43</v>
      </c>
      <c r="E37" s="149">
        <f>SUM(E38:E42)</f>
        <v>22413.793103448275</v>
      </c>
      <c r="F37" s="150"/>
      <c r="G37" s="151">
        <f>SUM(G38:G42)</f>
        <v>22413.793103448275</v>
      </c>
      <c r="H37" s="128">
        <f t="shared" si="10"/>
        <v>144252.66</v>
      </c>
      <c r="I37" s="153">
        <f>SUM(I38:I42)</f>
        <v>0.15537871609056136</v>
      </c>
      <c r="J37" s="172">
        <f t="shared" ref="J37" si="14">SUM(J38:J42)</f>
        <v>0</v>
      </c>
    </row>
    <row r="38" spans="1:11" x14ac:dyDescent="0.25">
      <c r="A38" s="305"/>
      <c r="B38" s="192" t="s">
        <v>114</v>
      </c>
      <c r="C38" s="101" t="s">
        <v>104</v>
      </c>
      <c r="D38" s="43" t="s">
        <v>105</v>
      </c>
      <c r="E38" s="48">
        <v>15000</v>
      </c>
      <c r="F38" s="46">
        <v>1</v>
      </c>
      <c r="G38" s="40">
        <f>E38*F38</f>
        <v>15000</v>
      </c>
      <c r="H38" s="87">
        <f t="shared" si="10"/>
        <v>144252.66</v>
      </c>
      <c r="I38" s="77">
        <f t="shared" ref="I38:I42" si="15">G38/H38</f>
        <v>0.10398421769137567</v>
      </c>
      <c r="J38" s="34" t="s">
        <v>38</v>
      </c>
    </row>
    <row r="39" spans="1:11" x14ac:dyDescent="0.25">
      <c r="A39" s="305"/>
      <c r="B39" s="192" t="s">
        <v>115</v>
      </c>
      <c r="C39" s="129" t="s">
        <v>11</v>
      </c>
      <c r="D39" s="43" t="s">
        <v>98</v>
      </c>
      <c r="E39" s="40">
        <f>E38/0.87*0.13</f>
        <v>2241.3793103448274</v>
      </c>
      <c r="F39" s="46">
        <v>1</v>
      </c>
      <c r="G39" s="40">
        <f>E39*F39</f>
        <v>2241.3793103448274</v>
      </c>
      <c r="H39" s="87">
        <f t="shared" si="10"/>
        <v>144252.66</v>
      </c>
      <c r="I39" s="77">
        <f t="shared" si="15"/>
        <v>1.5537871609056134E-2</v>
      </c>
      <c r="J39" s="34" t="s">
        <v>38</v>
      </c>
    </row>
    <row r="40" spans="1:11" x14ac:dyDescent="0.25">
      <c r="A40" s="305"/>
      <c r="B40" s="192" t="s">
        <v>116</v>
      </c>
      <c r="C40" s="129" t="s">
        <v>33</v>
      </c>
      <c r="D40" s="47" t="s">
        <v>99</v>
      </c>
      <c r="E40" s="40">
        <f>E38/0.87*0.22</f>
        <v>3793.1034482758619</v>
      </c>
      <c r="F40" s="46">
        <v>1</v>
      </c>
      <c r="G40" s="40">
        <f>E40*F40</f>
        <v>3793.1034482758619</v>
      </c>
      <c r="H40" s="87">
        <f t="shared" si="10"/>
        <v>144252.66</v>
      </c>
      <c r="I40" s="77">
        <f t="shared" si="15"/>
        <v>2.6294859646094997E-2</v>
      </c>
      <c r="J40" s="34" t="s">
        <v>38</v>
      </c>
    </row>
    <row r="41" spans="1:11" x14ac:dyDescent="0.25">
      <c r="A41" s="305"/>
      <c r="B41" s="192" t="s">
        <v>109</v>
      </c>
      <c r="C41" s="129" t="s">
        <v>26</v>
      </c>
      <c r="D41" s="42" t="s">
        <v>100</v>
      </c>
      <c r="E41" s="40">
        <f>E38/0.87*0.051</f>
        <v>879.31034482758605</v>
      </c>
      <c r="F41" s="46">
        <v>1</v>
      </c>
      <c r="G41" s="40">
        <f>E41*F41</f>
        <v>879.31034482758605</v>
      </c>
      <c r="H41" s="87">
        <f t="shared" si="10"/>
        <v>144252.66</v>
      </c>
      <c r="I41" s="77">
        <f t="shared" si="15"/>
        <v>6.0956265543220213E-3</v>
      </c>
      <c r="J41" s="34" t="s">
        <v>38</v>
      </c>
    </row>
    <row r="42" spans="1:11" ht="15.75" thickBot="1" x14ac:dyDescent="0.3">
      <c r="A42" s="305"/>
      <c r="B42" s="193" t="s">
        <v>110</v>
      </c>
      <c r="C42" s="156" t="s">
        <v>12</v>
      </c>
      <c r="D42" s="157" t="s">
        <v>101</v>
      </c>
      <c r="E42" s="91">
        <f>E38/0.87*0.029</f>
        <v>500</v>
      </c>
      <c r="F42" s="134">
        <v>1</v>
      </c>
      <c r="G42" s="91">
        <f>E42*F42</f>
        <v>500</v>
      </c>
      <c r="H42" s="136">
        <f t="shared" si="10"/>
        <v>144252.66</v>
      </c>
      <c r="I42" s="90">
        <f t="shared" si="15"/>
        <v>3.4661405897125222E-3</v>
      </c>
      <c r="J42" s="137" t="s">
        <v>38</v>
      </c>
    </row>
    <row r="43" spans="1:11" ht="15.75" thickBot="1" x14ac:dyDescent="0.3">
      <c r="A43" s="305"/>
      <c r="B43" s="186" t="s">
        <v>107</v>
      </c>
      <c r="C43" s="194" t="s">
        <v>20</v>
      </c>
      <c r="D43" s="195" t="s">
        <v>44</v>
      </c>
      <c r="E43" s="196"/>
      <c r="F43" s="197"/>
      <c r="G43" s="198">
        <v>7000</v>
      </c>
      <c r="H43" s="199">
        <f t="shared" si="10"/>
        <v>144252.66</v>
      </c>
      <c r="I43" s="200">
        <f>G43/H43</f>
        <v>4.8525968255975313E-2</v>
      </c>
      <c r="J43" s="201" t="s">
        <v>38</v>
      </c>
    </row>
    <row r="44" spans="1:11" ht="15.75" thickBot="1" x14ac:dyDescent="0.3">
      <c r="A44" s="6" t="s">
        <v>5</v>
      </c>
      <c r="B44" s="147"/>
      <c r="C44" s="187"/>
      <c r="D44" s="187"/>
      <c r="E44" s="57"/>
      <c r="F44" s="58"/>
      <c r="G44" s="59">
        <f>SUM(G31,G37,G43)</f>
        <v>36885.057471264372</v>
      </c>
      <c r="H44" s="188"/>
      <c r="I44" s="189">
        <f>SUM(I31,I37,I43)</f>
        <v>0.25569758971005713</v>
      </c>
      <c r="J44" s="89">
        <f>SUM(J31,J37,J43)</f>
        <v>0</v>
      </c>
    </row>
    <row r="45" spans="1:11" ht="30" x14ac:dyDescent="0.25">
      <c r="A45" s="304" t="s">
        <v>7</v>
      </c>
      <c r="B45" s="164" t="s">
        <v>80</v>
      </c>
      <c r="C45" s="170" t="s">
        <v>124</v>
      </c>
      <c r="D45" s="148" t="s">
        <v>48</v>
      </c>
      <c r="E45" s="149">
        <f>SUM(E46:E50)</f>
        <v>44827.586206896551</v>
      </c>
      <c r="F45" s="150"/>
      <c r="G45" s="151">
        <f>SUM(G46:G50)</f>
        <v>44827.586206896551</v>
      </c>
      <c r="H45" s="128">
        <f t="shared" ref="H45:H74" si="16">$J$7</f>
        <v>144252.66</v>
      </c>
      <c r="I45" s="153">
        <f>SUM(I46:I50)</f>
        <v>0.31075743218112273</v>
      </c>
      <c r="J45" s="172">
        <f t="shared" ref="J45" si="17">SUM(J46:J50)</f>
        <v>0</v>
      </c>
    </row>
    <row r="46" spans="1:11" x14ac:dyDescent="0.25">
      <c r="A46" s="305"/>
      <c r="B46" s="192" t="s">
        <v>119</v>
      </c>
      <c r="C46" s="101" t="s">
        <v>104</v>
      </c>
      <c r="D46" s="43" t="s">
        <v>105</v>
      </c>
      <c r="E46" s="48">
        <v>30000</v>
      </c>
      <c r="F46" s="46">
        <v>1</v>
      </c>
      <c r="G46" s="40">
        <f>E46*F46</f>
        <v>30000</v>
      </c>
      <c r="H46" s="87">
        <f t="shared" si="16"/>
        <v>144252.66</v>
      </c>
      <c r="I46" s="77">
        <f t="shared" ref="I46:I50" si="18">G46/H46</f>
        <v>0.20796843538275134</v>
      </c>
      <c r="J46" s="34" t="s">
        <v>38</v>
      </c>
    </row>
    <row r="47" spans="1:11" x14ac:dyDescent="0.25">
      <c r="A47" s="305"/>
      <c r="B47" s="192" t="s">
        <v>120</v>
      </c>
      <c r="C47" s="129" t="s">
        <v>11</v>
      </c>
      <c r="D47" s="43" t="s">
        <v>98</v>
      </c>
      <c r="E47" s="40">
        <f>E46/0.87*0.13</f>
        <v>4482.7586206896549</v>
      </c>
      <c r="F47" s="46">
        <v>1</v>
      </c>
      <c r="G47" s="40">
        <f>E47*F47</f>
        <v>4482.7586206896549</v>
      </c>
      <c r="H47" s="87">
        <f t="shared" si="16"/>
        <v>144252.66</v>
      </c>
      <c r="I47" s="77">
        <f t="shared" si="18"/>
        <v>3.1075743218112267E-2</v>
      </c>
      <c r="J47" s="34" t="s">
        <v>38</v>
      </c>
    </row>
    <row r="48" spans="1:11" x14ac:dyDescent="0.25">
      <c r="A48" s="305"/>
      <c r="B48" s="192" t="s">
        <v>121</v>
      </c>
      <c r="C48" s="129" t="s">
        <v>33</v>
      </c>
      <c r="D48" s="47" t="s">
        <v>99</v>
      </c>
      <c r="E48" s="40">
        <f>E46/0.87*0.22</f>
        <v>7586.2068965517237</v>
      </c>
      <c r="F48" s="46">
        <v>1</v>
      </c>
      <c r="G48" s="40">
        <f>E48*F48</f>
        <v>7586.2068965517237</v>
      </c>
      <c r="H48" s="87">
        <f t="shared" si="16"/>
        <v>144252.66</v>
      </c>
      <c r="I48" s="77">
        <f t="shared" si="18"/>
        <v>5.2589719292189994E-2</v>
      </c>
      <c r="J48" s="34" t="s">
        <v>38</v>
      </c>
    </row>
    <row r="49" spans="1:11" x14ac:dyDescent="0.25">
      <c r="A49" s="305"/>
      <c r="B49" s="192" t="s">
        <v>122</v>
      </c>
      <c r="C49" s="129" t="s">
        <v>26</v>
      </c>
      <c r="D49" s="42" t="s">
        <v>100</v>
      </c>
      <c r="E49" s="40">
        <f>E46/0.87*0.051</f>
        <v>1758.6206896551721</v>
      </c>
      <c r="F49" s="46">
        <v>1</v>
      </c>
      <c r="G49" s="40">
        <f>E49*F49</f>
        <v>1758.6206896551721</v>
      </c>
      <c r="H49" s="87">
        <f t="shared" si="16"/>
        <v>144252.66</v>
      </c>
      <c r="I49" s="77">
        <f t="shared" si="18"/>
        <v>1.2191253108644043E-2</v>
      </c>
      <c r="J49" s="34" t="s">
        <v>38</v>
      </c>
    </row>
    <row r="50" spans="1:11" ht="15.75" thickBot="1" x14ac:dyDescent="0.3">
      <c r="A50" s="305"/>
      <c r="B50" s="193" t="s">
        <v>123</v>
      </c>
      <c r="C50" s="156" t="s">
        <v>12</v>
      </c>
      <c r="D50" s="157" t="s">
        <v>101</v>
      </c>
      <c r="E50" s="91">
        <f>E46/0.87*0.029</f>
        <v>1000</v>
      </c>
      <c r="F50" s="134">
        <v>1</v>
      </c>
      <c r="G50" s="91">
        <f>E50*F50</f>
        <v>1000</v>
      </c>
      <c r="H50" s="136">
        <f t="shared" si="16"/>
        <v>144252.66</v>
      </c>
      <c r="I50" s="90">
        <f t="shared" si="18"/>
        <v>6.9322811794250445E-3</v>
      </c>
      <c r="J50" s="137" t="s">
        <v>38</v>
      </c>
    </row>
    <row r="51" spans="1:11" ht="24.75" customHeight="1" x14ac:dyDescent="0.25">
      <c r="A51" s="305"/>
      <c r="B51" s="164" t="s">
        <v>81</v>
      </c>
      <c r="C51" s="175" t="s">
        <v>125</v>
      </c>
      <c r="D51" s="176" t="s">
        <v>41</v>
      </c>
      <c r="E51" s="149">
        <f>SUM(E52:E56)</f>
        <v>11954.022988505745</v>
      </c>
      <c r="F51" s="150"/>
      <c r="G51" s="151">
        <f>SUM(G52:G56)</f>
        <v>11954.022988505745</v>
      </c>
      <c r="H51" s="128">
        <f t="shared" si="16"/>
        <v>144252.66</v>
      </c>
      <c r="I51" s="153">
        <f>SUM(I52:I56)</f>
        <v>8.2868648581632717E-2</v>
      </c>
      <c r="J51" s="172">
        <f t="shared" ref="J51" si="19">SUM(J52:J56)</f>
        <v>0</v>
      </c>
    </row>
    <row r="52" spans="1:11" x14ac:dyDescent="0.25">
      <c r="A52" s="305"/>
      <c r="B52" s="192" t="s">
        <v>82</v>
      </c>
      <c r="C52" s="101" t="s">
        <v>104</v>
      </c>
      <c r="D52" s="43" t="s">
        <v>105</v>
      </c>
      <c r="E52" s="48">
        <v>8000</v>
      </c>
      <c r="F52" s="46">
        <v>1</v>
      </c>
      <c r="G52" s="40">
        <f>E52*F52</f>
        <v>8000</v>
      </c>
      <c r="H52" s="87">
        <f t="shared" si="16"/>
        <v>144252.66</v>
      </c>
      <c r="I52" s="77">
        <f t="shared" ref="I52:I56" si="20">G52/H52</f>
        <v>5.5458249435400356E-2</v>
      </c>
      <c r="J52" s="34" t="s">
        <v>38</v>
      </c>
    </row>
    <row r="53" spans="1:11" x14ac:dyDescent="0.25">
      <c r="A53" s="305"/>
      <c r="B53" s="192" t="s">
        <v>83</v>
      </c>
      <c r="C53" s="129" t="s">
        <v>11</v>
      </c>
      <c r="D53" s="43" t="s">
        <v>98</v>
      </c>
      <c r="E53" s="40">
        <f>E52/0.87*0.13</f>
        <v>1195.4022988505749</v>
      </c>
      <c r="F53" s="46">
        <v>1</v>
      </c>
      <c r="G53" s="40">
        <f>E53*F53</f>
        <v>1195.4022988505749</v>
      </c>
      <c r="H53" s="87">
        <f t="shared" si="16"/>
        <v>144252.66</v>
      </c>
      <c r="I53" s="77">
        <f t="shared" si="20"/>
        <v>8.2868648581632728E-3</v>
      </c>
      <c r="J53" s="34" t="s">
        <v>38</v>
      </c>
    </row>
    <row r="54" spans="1:11" x14ac:dyDescent="0.25">
      <c r="A54" s="305"/>
      <c r="B54" s="192" t="s">
        <v>84</v>
      </c>
      <c r="C54" s="129" t="s">
        <v>33</v>
      </c>
      <c r="D54" s="47" t="s">
        <v>99</v>
      </c>
      <c r="E54" s="40">
        <f>E52/0.87*0.22</f>
        <v>2022.9885057471265</v>
      </c>
      <c r="F54" s="46">
        <v>1</v>
      </c>
      <c r="G54" s="40">
        <f>E54*F54</f>
        <v>2022.9885057471265</v>
      </c>
      <c r="H54" s="87">
        <f t="shared" si="16"/>
        <v>144252.66</v>
      </c>
      <c r="I54" s="77">
        <f t="shared" si="20"/>
        <v>1.4023925144583999E-2</v>
      </c>
      <c r="J54" s="34" t="s">
        <v>38</v>
      </c>
    </row>
    <row r="55" spans="1:11" x14ac:dyDescent="0.25">
      <c r="A55" s="305"/>
      <c r="B55" s="192" t="s">
        <v>85</v>
      </c>
      <c r="C55" s="129" t="s">
        <v>26</v>
      </c>
      <c r="D55" s="42" t="s">
        <v>100</v>
      </c>
      <c r="E55" s="40">
        <f>E52/0.87*0.051</f>
        <v>468.9655172413793</v>
      </c>
      <c r="F55" s="46">
        <v>1</v>
      </c>
      <c r="G55" s="40">
        <f>E55*F55</f>
        <v>468.9655172413793</v>
      </c>
      <c r="H55" s="87">
        <f t="shared" si="16"/>
        <v>144252.66</v>
      </c>
      <c r="I55" s="77">
        <f t="shared" si="20"/>
        <v>3.251000828971745E-3</v>
      </c>
      <c r="J55" s="34" t="s">
        <v>38</v>
      </c>
    </row>
    <row r="56" spans="1:11" ht="15.75" thickBot="1" x14ac:dyDescent="0.3">
      <c r="A56" s="305"/>
      <c r="B56" s="193" t="s">
        <v>86</v>
      </c>
      <c r="C56" s="156" t="s">
        <v>12</v>
      </c>
      <c r="D56" s="157" t="s">
        <v>101</v>
      </c>
      <c r="E56" s="91">
        <f>E52/0.87*0.029</f>
        <v>266.66666666666669</v>
      </c>
      <c r="F56" s="134">
        <v>1</v>
      </c>
      <c r="G56" s="91">
        <f>E56*F56</f>
        <v>266.66666666666669</v>
      </c>
      <c r="H56" s="136">
        <f t="shared" si="16"/>
        <v>144252.66</v>
      </c>
      <c r="I56" s="90">
        <f t="shared" si="20"/>
        <v>1.8486083145133453E-3</v>
      </c>
      <c r="J56" s="137" t="s">
        <v>38</v>
      </c>
    </row>
    <row r="57" spans="1:11" ht="30" x14ac:dyDescent="0.25">
      <c r="A57" s="305"/>
      <c r="B57" s="164" t="s">
        <v>126</v>
      </c>
      <c r="C57" s="202" t="s">
        <v>140</v>
      </c>
      <c r="D57" s="138" t="s">
        <v>132</v>
      </c>
      <c r="E57" s="149">
        <f>SUM(E58:E62)</f>
        <v>29885.057471264368</v>
      </c>
      <c r="F57" s="150"/>
      <c r="G57" s="151">
        <f>SUM(G58:G62)</f>
        <v>29885.057471264368</v>
      </c>
      <c r="H57" s="128">
        <f t="shared" si="16"/>
        <v>144252.66</v>
      </c>
      <c r="I57" s="153">
        <f>SUM(I58:I62)</f>
        <v>0.20717162145408174</v>
      </c>
      <c r="J57" s="172">
        <f t="shared" ref="J57" si="21">SUM(J58:J62)</f>
        <v>0</v>
      </c>
      <c r="K57" s="292" t="s">
        <v>231</v>
      </c>
    </row>
    <row r="58" spans="1:11" x14ac:dyDescent="0.25">
      <c r="A58" s="305"/>
      <c r="B58" s="192" t="s">
        <v>127</v>
      </c>
      <c r="C58" s="101" t="s">
        <v>104</v>
      </c>
      <c r="D58" s="43" t="s">
        <v>105</v>
      </c>
      <c r="E58" s="48">
        <v>20000</v>
      </c>
      <c r="F58" s="46">
        <v>1</v>
      </c>
      <c r="G58" s="40">
        <f>E58*F58</f>
        <v>20000</v>
      </c>
      <c r="H58" s="87">
        <f t="shared" si="16"/>
        <v>144252.66</v>
      </c>
      <c r="I58" s="77">
        <f t="shared" ref="I58:I62" si="22">G58/H58</f>
        <v>0.13864562358850088</v>
      </c>
      <c r="J58" s="34" t="s">
        <v>38</v>
      </c>
      <c r="K58" s="292"/>
    </row>
    <row r="59" spans="1:11" x14ac:dyDescent="0.25">
      <c r="A59" s="305"/>
      <c r="B59" s="192" t="s">
        <v>128</v>
      </c>
      <c r="C59" s="129" t="s">
        <v>11</v>
      </c>
      <c r="D59" s="43" t="s">
        <v>98</v>
      </c>
      <c r="E59" s="40">
        <f>E58/0.87*0.13</f>
        <v>2988.5057471264367</v>
      </c>
      <c r="F59" s="46">
        <v>1</v>
      </c>
      <c r="G59" s="40">
        <f>E59*F59</f>
        <v>2988.5057471264367</v>
      </c>
      <c r="H59" s="87">
        <f t="shared" si="16"/>
        <v>144252.66</v>
      </c>
      <c r="I59" s="77">
        <f t="shared" si="22"/>
        <v>2.0717162145408179E-2</v>
      </c>
      <c r="J59" s="34" t="s">
        <v>38</v>
      </c>
      <c r="K59" s="292"/>
    </row>
    <row r="60" spans="1:11" x14ac:dyDescent="0.25">
      <c r="A60" s="305"/>
      <c r="B60" s="192" t="s">
        <v>129</v>
      </c>
      <c r="C60" s="129" t="s">
        <v>33</v>
      </c>
      <c r="D60" s="47" t="s">
        <v>99</v>
      </c>
      <c r="E60" s="40">
        <f>E58/0.87*0.22</f>
        <v>5057.4712643678158</v>
      </c>
      <c r="F60" s="46">
        <v>1</v>
      </c>
      <c r="G60" s="40">
        <f>E60*F60</f>
        <v>5057.4712643678158</v>
      </c>
      <c r="H60" s="87">
        <f t="shared" si="16"/>
        <v>144252.66</v>
      </c>
      <c r="I60" s="77">
        <f t="shared" si="22"/>
        <v>3.5059812861459996E-2</v>
      </c>
      <c r="J60" s="34" t="s">
        <v>38</v>
      </c>
      <c r="K60" s="292"/>
    </row>
    <row r="61" spans="1:11" x14ac:dyDescent="0.25">
      <c r="A61" s="305"/>
      <c r="B61" s="192" t="s">
        <v>130</v>
      </c>
      <c r="C61" s="129" t="s">
        <v>26</v>
      </c>
      <c r="D61" s="42" t="s">
        <v>100</v>
      </c>
      <c r="E61" s="40">
        <f>E58/0.87*0.051</f>
        <v>1172.4137931034481</v>
      </c>
      <c r="F61" s="46">
        <v>1</v>
      </c>
      <c r="G61" s="40">
        <f>E61*F61</f>
        <v>1172.4137931034481</v>
      </c>
      <c r="H61" s="87">
        <f t="shared" si="16"/>
        <v>144252.66</v>
      </c>
      <c r="I61" s="77">
        <f t="shared" si="22"/>
        <v>8.1275020724293611E-3</v>
      </c>
      <c r="J61" s="34" t="s">
        <v>38</v>
      </c>
      <c r="K61" s="292"/>
    </row>
    <row r="62" spans="1:11" ht="15.75" thickBot="1" x14ac:dyDescent="0.3">
      <c r="A62" s="305"/>
      <c r="B62" s="193" t="s">
        <v>131</v>
      </c>
      <c r="C62" s="156" t="s">
        <v>12</v>
      </c>
      <c r="D62" s="157" t="s">
        <v>101</v>
      </c>
      <c r="E62" s="91">
        <f>E58/0.87*0.029</f>
        <v>666.66666666666674</v>
      </c>
      <c r="F62" s="134">
        <v>1</v>
      </c>
      <c r="G62" s="91">
        <f>E62*F62</f>
        <v>666.66666666666674</v>
      </c>
      <c r="H62" s="136">
        <f t="shared" si="16"/>
        <v>144252.66</v>
      </c>
      <c r="I62" s="90">
        <f t="shared" si="22"/>
        <v>4.6215207862833636E-3</v>
      </c>
      <c r="J62" s="137" t="s">
        <v>38</v>
      </c>
      <c r="K62" s="292"/>
    </row>
    <row r="63" spans="1:11" ht="30" x14ac:dyDescent="0.25">
      <c r="A63" s="305"/>
      <c r="B63" s="164" t="s">
        <v>133</v>
      </c>
      <c r="C63" s="100" t="s">
        <v>141</v>
      </c>
      <c r="D63" s="94" t="s">
        <v>49</v>
      </c>
      <c r="E63" s="149">
        <f>SUM(E64:E68)</f>
        <v>22413.793103448275</v>
      </c>
      <c r="F63" s="150"/>
      <c r="G63" s="151">
        <f>SUM(G64:G68)</f>
        <v>67241.379310344826</v>
      </c>
      <c r="H63" s="128">
        <f t="shared" si="16"/>
        <v>144252.66</v>
      </c>
      <c r="I63" s="153">
        <f>SUM(I64:I68)</f>
        <v>0.46613614827168404</v>
      </c>
      <c r="J63" s="172">
        <f t="shared" ref="J63" si="23">SUM(J64:J68)</f>
        <v>0</v>
      </c>
    </row>
    <row r="64" spans="1:11" x14ac:dyDescent="0.25">
      <c r="A64" s="305"/>
      <c r="B64" s="192" t="s">
        <v>134</v>
      </c>
      <c r="C64" s="101" t="s">
        <v>104</v>
      </c>
      <c r="D64" s="43" t="s">
        <v>105</v>
      </c>
      <c r="E64" s="48">
        <v>15000</v>
      </c>
      <c r="F64" s="46">
        <v>3</v>
      </c>
      <c r="G64" s="40">
        <f>E64*F64</f>
        <v>45000</v>
      </c>
      <c r="H64" s="87">
        <f t="shared" si="16"/>
        <v>144252.66</v>
      </c>
      <c r="I64" s="77">
        <f t="shared" ref="I64:I68" si="24">G64/H64</f>
        <v>0.31195265307412701</v>
      </c>
      <c r="J64" s="34" t="s">
        <v>38</v>
      </c>
    </row>
    <row r="65" spans="1:11" x14ac:dyDescent="0.25">
      <c r="A65" s="305"/>
      <c r="B65" s="192" t="s">
        <v>135</v>
      </c>
      <c r="C65" s="129" t="s">
        <v>11</v>
      </c>
      <c r="D65" s="43" t="s">
        <v>98</v>
      </c>
      <c r="E65" s="40">
        <f>E64/0.87*0.13</f>
        <v>2241.3793103448274</v>
      </c>
      <c r="F65" s="46">
        <v>3</v>
      </c>
      <c r="G65" s="40">
        <f>E65*F65</f>
        <v>6724.1379310344819</v>
      </c>
      <c r="H65" s="87">
        <f t="shared" si="16"/>
        <v>144252.66</v>
      </c>
      <c r="I65" s="77">
        <f t="shared" si="24"/>
        <v>4.6613614827168401E-2</v>
      </c>
      <c r="J65" s="34" t="s">
        <v>38</v>
      </c>
    </row>
    <row r="66" spans="1:11" x14ac:dyDescent="0.25">
      <c r="A66" s="305"/>
      <c r="B66" s="192" t="s">
        <v>136</v>
      </c>
      <c r="C66" s="129" t="s">
        <v>33</v>
      </c>
      <c r="D66" s="47" t="s">
        <v>99</v>
      </c>
      <c r="E66" s="40">
        <f>E64/0.87*0.22</f>
        <v>3793.1034482758619</v>
      </c>
      <c r="F66" s="46">
        <v>3</v>
      </c>
      <c r="G66" s="40">
        <f>E66*F66</f>
        <v>11379.310344827585</v>
      </c>
      <c r="H66" s="87">
        <f t="shared" si="16"/>
        <v>144252.66</v>
      </c>
      <c r="I66" s="77">
        <f t="shared" si="24"/>
        <v>7.8884578938284988E-2</v>
      </c>
      <c r="J66" s="34" t="s">
        <v>38</v>
      </c>
    </row>
    <row r="67" spans="1:11" x14ac:dyDescent="0.25">
      <c r="A67" s="305"/>
      <c r="B67" s="192" t="s">
        <v>137</v>
      </c>
      <c r="C67" s="129" t="s">
        <v>26</v>
      </c>
      <c r="D67" s="42" t="s">
        <v>100</v>
      </c>
      <c r="E67" s="40">
        <f>E64/0.87*0.051</f>
        <v>879.31034482758605</v>
      </c>
      <c r="F67" s="46">
        <v>3</v>
      </c>
      <c r="G67" s="40">
        <f>E67*F67</f>
        <v>2637.9310344827582</v>
      </c>
      <c r="H67" s="87">
        <f t="shared" si="16"/>
        <v>144252.66</v>
      </c>
      <c r="I67" s="77">
        <f t="shared" si="24"/>
        <v>1.8286879662966063E-2</v>
      </c>
      <c r="J67" s="34" t="s">
        <v>38</v>
      </c>
    </row>
    <row r="68" spans="1:11" ht="15.75" thickBot="1" x14ac:dyDescent="0.3">
      <c r="A68" s="305"/>
      <c r="B68" s="193" t="s">
        <v>138</v>
      </c>
      <c r="C68" s="156" t="s">
        <v>12</v>
      </c>
      <c r="D68" s="157" t="s">
        <v>101</v>
      </c>
      <c r="E68" s="91">
        <f>E64/0.87*0.029</f>
        <v>500</v>
      </c>
      <c r="F68" s="134">
        <v>3</v>
      </c>
      <c r="G68" s="91">
        <f>E68*F68</f>
        <v>1500</v>
      </c>
      <c r="H68" s="136">
        <f t="shared" si="16"/>
        <v>144252.66</v>
      </c>
      <c r="I68" s="90">
        <f t="shared" si="24"/>
        <v>1.0398421769137568E-2</v>
      </c>
      <c r="J68" s="137" t="s">
        <v>38</v>
      </c>
    </row>
    <row r="69" spans="1:11" ht="30" x14ac:dyDescent="0.25">
      <c r="A69" s="305"/>
      <c r="B69" s="118" t="s">
        <v>139</v>
      </c>
      <c r="C69" s="150" t="s">
        <v>23</v>
      </c>
      <c r="D69" s="148" t="s">
        <v>42</v>
      </c>
      <c r="E69" s="149">
        <f>SUM(E70:E74)</f>
        <v>149425.28735632185</v>
      </c>
      <c r="F69" s="150"/>
      <c r="G69" s="151">
        <f>SUM(G70:G74)</f>
        <v>149425.28735632185</v>
      </c>
      <c r="H69" s="128">
        <f t="shared" si="16"/>
        <v>144252.66</v>
      </c>
      <c r="I69" s="153">
        <f>SUM(I70:I74)</f>
        <v>1.0358581072704092</v>
      </c>
      <c r="J69" s="172">
        <f t="shared" ref="J69" si="25">SUM(J70:J74)</f>
        <v>0</v>
      </c>
    </row>
    <row r="70" spans="1:11" x14ac:dyDescent="0.25">
      <c r="A70" s="305"/>
      <c r="B70" s="192" t="s">
        <v>143</v>
      </c>
      <c r="C70" s="101" t="s">
        <v>104</v>
      </c>
      <c r="D70" s="43" t="s">
        <v>105</v>
      </c>
      <c r="E70" s="48">
        <v>100000</v>
      </c>
      <c r="F70" s="46">
        <v>1</v>
      </c>
      <c r="G70" s="40">
        <f>E70*F70</f>
        <v>100000</v>
      </c>
      <c r="H70" s="87">
        <f t="shared" si="16"/>
        <v>144252.66</v>
      </c>
      <c r="I70" s="77">
        <f t="shared" ref="I70:I74" si="26">G70/H70</f>
        <v>0.6932281179425045</v>
      </c>
      <c r="J70" s="34" t="s">
        <v>38</v>
      </c>
    </row>
    <row r="71" spans="1:11" x14ac:dyDescent="0.25">
      <c r="A71" s="305"/>
      <c r="B71" s="192" t="s">
        <v>144</v>
      </c>
      <c r="C71" s="129" t="s">
        <v>11</v>
      </c>
      <c r="D71" s="43" t="s">
        <v>98</v>
      </c>
      <c r="E71" s="40">
        <f>E70/0.87*0.13</f>
        <v>14942.528735632184</v>
      </c>
      <c r="F71" s="46">
        <v>1</v>
      </c>
      <c r="G71" s="40">
        <f>E71*F71</f>
        <v>14942.528735632184</v>
      </c>
      <c r="H71" s="87">
        <f t="shared" si="16"/>
        <v>144252.66</v>
      </c>
      <c r="I71" s="77">
        <f t="shared" si="26"/>
        <v>0.1035858107270409</v>
      </c>
      <c r="J71" s="34" t="s">
        <v>38</v>
      </c>
    </row>
    <row r="72" spans="1:11" x14ac:dyDescent="0.25">
      <c r="A72" s="305"/>
      <c r="B72" s="192" t="s">
        <v>145</v>
      </c>
      <c r="C72" s="129" t="s">
        <v>33</v>
      </c>
      <c r="D72" s="47" t="s">
        <v>99</v>
      </c>
      <c r="E72" s="40">
        <f>E70/0.87*0.22</f>
        <v>25287.356321839081</v>
      </c>
      <c r="F72" s="46">
        <v>1</v>
      </c>
      <c r="G72" s="40">
        <f>E72*F72</f>
        <v>25287.356321839081</v>
      </c>
      <c r="H72" s="87">
        <f t="shared" si="16"/>
        <v>144252.66</v>
      </c>
      <c r="I72" s="77">
        <f t="shared" si="26"/>
        <v>0.1752990643073</v>
      </c>
      <c r="J72" s="34" t="s">
        <v>38</v>
      </c>
    </row>
    <row r="73" spans="1:11" x14ac:dyDescent="0.25">
      <c r="A73" s="305"/>
      <c r="B73" s="192" t="s">
        <v>146</v>
      </c>
      <c r="C73" s="129" t="s">
        <v>26</v>
      </c>
      <c r="D73" s="42" t="s">
        <v>100</v>
      </c>
      <c r="E73" s="40">
        <f>E70/0.87*0.051</f>
        <v>5862.0689655172409</v>
      </c>
      <c r="F73" s="46">
        <v>1</v>
      </c>
      <c r="G73" s="40">
        <f>E73*F73</f>
        <v>5862.0689655172409</v>
      </c>
      <c r="H73" s="87">
        <f t="shared" si="16"/>
        <v>144252.66</v>
      </c>
      <c r="I73" s="77">
        <f t="shared" si="26"/>
        <v>4.0637510362146814E-2</v>
      </c>
      <c r="J73" s="34" t="s">
        <v>38</v>
      </c>
    </row>
    <row r="74" spans="1:11" ht="15.75" thickBot="1" x14ac:dyDescent="0.3">
      <c r="A74" s="307"/>
      <c r="B74" s="193" t="s">
        <v>147</v>
      </c>
      <c r="C74" s="156" t="s">
        <v>12</v>
      </c>
      <c r="D74" s="157" t="s">
        <v>101</v>
      </c>
      <c r="E74" s="91">
        <f>E70/0.87*0.029</f>
        <v>3333.3333333333335</v>
      </c>
      <c r="F74" s="134">
        <v>1</v>
      </c>
      <c r="G74" s="91">
        <f>E74*F74</f>
        <v>3333.3333333333335</v>
      </c>
      <c r="H74" s="136">
        <f t="shared" si="16"/>
        <v>144252.66</v>
      </c>
      <c r="I74" s="90">
        <f t="shared" si="26"/>
        <v>2.3107603931416816E-2</v>
      </c>
      <c r="J74" s="137" t="s">
        <v>38</v>
      </c>
    </row>
    <row r="75" spans="1:11" ht="15.75" thickBot="1" x14ac:dyDescent="0.3">
      <c r="A75" s="6" t="s">
        <v>5</v>
      </c>
      <c r="B75" s="109"/>
      <c r="C75" s="7"/>
      <c r="D75" s="7"/>
      <c r="E75" s="20"/>
      <c r="F75" s="16"/>
      <c r="G75" s="21">
        <f>SUM(G45,G51,G57,G63,G69)</f>
        <v>303333.33333333337</v>
      </c>
      <c r="H75" s="37"/>
      <c r="I75" s="78">
        <f>SUM(I45,I51,I57,I63,I69)</f>
        <v>2.1027919577589302</v>
      </c>
      <c r="J75" s="33">
        <f t="shared" ref="J75" si="27">SUM(J45,J51,J57,J63,J69)</f>
        <v>0</v>
      </c>
    </row>
    <row r="76" spans="1:11" ht="150" x14ac:dyDescent="0.25">
      <c r="A76" s="3" t="s">
        <v>31</v>
      </c>
      <c r="B76" s="111"/>
      <c r="C76" s="124" t="s">
        <v>25</v>
      </c>
      <c r="D76" s="148" t="s">
        <v>53</v>
      </c>
      <c r="E76" s="151">
        <v>6300</v>
      </c>
      <c r="F76" s="150">
        <v>65</v>
      </c>
      <c r="G76" s="151">
        <f>E76*F76</f>
        <v>409500</v>
      </c>
      <c r="H76" s="204">
        <f>$J$7</f>
        <v>144252.66</v>
      </c>
      <c r="I76" s="205">
        <f>G76/H76</f>
        <v>2.8387691429745558</v>
      </c>
      <c r="J76" s="172" t="s">
        <v>38</v>
      </c>
    </row>
    <row r="77" spans="1:11" ht="15.75" thickBot="1" x14ac:dyDescent="0.3">
      <c r="A77" s="6" t="s">
        <v>5</v>
      </c>
      <c r="B77" s="109"/>
      <c r="C77" s="7"/>
      <c r="D77" s="16"/>
      <c r="E77" s="20"/>
      <c r="F77" s="16"/>
      <c r="G77" s="21">
        <f>SUM(G76:G76)</f>
        <v>409500</v>
      </c>
      <c r="H77" s="37"/>
      <c r="I77" s="78">
        <f>SUM(I76)</f>
        <v>2.8387691429745558</v>
      </c>
      <c r="J77" s="33">
        <f t="shared" ref="J77" si="28">SUM(J76)</f>
        <v>0</v>
      </c>
    </row>
    <row r="78" spans="1:11" x14ac:dyDescent="0.25">
      <c r="A78" s="293" t="s">
        <v>197</v>
      </c>
      <c r="B78" s="107" t="s">
        <v>148</v>
      </c>
      <c r="C78" s="124" t="s">
        <v>8</v>
      </c>
      <c r="D78" s="148" t="s">
        <v>60</v>
      </c>
      <c r="E78" s="149">
        <f>SUM(E79:E83)</f>
        <v>44896.551724137928</v>
      </c>
      <c r="F78" s="150"/>
      <c r="G78" s="151">
        <f>SUM(G79:G83)</f>
        <v>538758.62068965519</v>
      </c>
      <c r="H78" s="128">
        <f t="shared" ref="H78:H120" si="29">$J$7</f>
        <v>144252.66</v>
      </c>
      <c r="I78" s="153">
        <f>SUM(I79:I83)</f>
        <v>3.7348262464598929</v>
      </c>
      <c r="J78" s="172">
        <f t="shared" ref="J78" si="30">SUM(J79:J83)</f>
        <v>0</v>
      </c>
      <c r="K78" s="292" t="s">
        <v>240</v>
      </c>
    </row>
    <row r="79" spans="1:11" x14ac:dyDescent="0.25">
      <c r="A79" s="294"/>
      <c r="B79" s="192" t="s">
        <v>149</v>
      </c>
      <c r="C79" s="101" t="s">
        <v>185</v>
      </c>
      <c r="D79" s="43" t="s">
        <v>142</v>
      </c>
      <c r="E79" s="48">
        <v>30000</v>
      </c>
      <c r="F79" s="46">
        <v>12</v>
      </c>
      <c r="G79" s="40">
        <f>E79*F79</f>
        <v>360000</v>
      </c>
      <c r="H79" s="87">
        <f t="shared" si="29"/>
        <v>144252.66</v>
      </c>
      <c r="I79" s="77">
        <f t="shared" ref="I79:I83" si="31">G79/H79</f>
        <v>2.4956212245930161</v>
      </c>
      <c r="J79" s="34" t="s">
        <v>38</v>
      </c>
      <c r="K79" s="292"/>
    </row>
    <row r="80" spans="1:11" x14ac:dyDescent="0.25">
      <c r="A80" s="294"/>
      <c r="B80" s="192" t="s">
        <v>150</v>
      </c>
      <c r="C80" s="129" t="s">
        <v>11</v>
      </c>
      <c r="D80" s="43" t="s">
        <v>98</v>
      </c>
      <c r="E80" s="40">
        <f>E79/0.87*0.13</f>
        <v>4482.7586206896549</v>
      </c>
      <c r="F80" s="46">
        <v>12</v>
      </c>
      <c r="G80" s="40">
        <f>E80*F80</f>
        <v>53793.103448275855</v>
      </c>
      <c r="H80" s="87">
        <f t="shared" si="29"/>
        <v>144252.66</v>
      </c>
      <c r="I80" s="77">
        <f t="shared" si="31"/>
        <v>0.37290891861734721</v>
      </c>
      <c r="J80" s="34" t="s">
        <v>38</v>
      </c>
      <c r="K80" s="292"/>
    </row>
    <row r="81" spans="1:11" x14ac:dyDescent="0.25">
      <c r="A81" s="294"/>
      <c r="B81" s="192" t="s">
        <v>151</v>
      </c>
      <c r="C81" s="129" t="s">
        <v>33</v>
      </c>
      <c r="D81" s="47" t="s">
        <v>99</v>
      </c>
      <c r="E81" s="40">
        <f>E79/0.87*0.22</f>
        <v>7586.2068965517237</v>
      </c>
      <c r="F81" s="46">
        <v>12</v>
      </c>
      <c r="G81" s="40">
        <f>E81*F81</f>
        <v>91034.482758620681</v>
      </c>
      <c r="H81" s="87">
        <f t="shared" si="29"/>
        <v>144252.66</v>
      </c>
      <c r="I81" s="77">
        <f t="shared" si="31"/>
        <v>0.63107663150627991</v>
      </c>
      <c r="J81" s="34" t="s">
        <v>38</v>
      </c>
      <c r="K81" s="292"/>
    </row>
    <row r="82" spans="1:11" x14ac:dyDescent="0.25">
      <c r="A82" s="294"/>
      <c r="B82" s="192" t="s">
        <v>152</v>
      </c>
      <c r="C82" s="129" t="s">
        <v>26</v>
      </c>
      <c r="D82" s="42" t="s">
        <v>100</v>
      </c>
      <c r="E82" s="40">
        <f>E79/0.87*0.051</f>
        <v>1758.6206896551721</v>
      </c>
      <c r="F82" s="46">
        <v>12</v>
      </c>
      <c r="G82" s="40">
        <f>E82*F82</f>
        <v>21103.448275862065</v>
      </c>
      <c r="H82" s="87">
        <f t="shared" si="29"/>
        <v>144252.66</v>
      </c>
      <c r="I82" s="77">
        <f t="shared" si="31"/>
        <v>0.1462950373037285</v>
      </c>
      <c r="J82" s="34" t="s">
        <v>38</v>
      </c>
      <c r="K82" s="292"/>
    </row>
    <row r="83" spans="1:11" ht="15.75" thickBot="1" x14ac:dyDescent="0.3">
      <c r="A83" s="294"/>
      <c r="B83" s="207" t="s">
        <v>153</v>
      </c>
      <c r="C83" s="102" t="s">
        <v>12</v>
      </c>
      <c r="D83" s="82" t="s">
        <v>154</v>
      </c>
      <c r="E83" s="84">
        <f>E79/0.87*0.031</f>
        <v>1068.9655172413793</v>
      </c>
      <c r="F83" s="173">
        <v>12</v>
      </c>
      <c r="G83" s="84">
        <f>E83*F83</f>
        <v>12827.586206896551</v>
      </c>
      <c r="H83" s="208">
        <f t="shared" si="29"/>
        <v>144252.66</v>
      </c>
      <c r="I83" s="83">
        <f t="shared" si="31"/>
        <v>8.8924434439521263E-2</v>
      </c>
      <c r="J83" s="174" t="s">
        <v>38</v>
      </c>
      <c r="K83" s="292"/>
    </row>
    <row r="84" spans="1:11" x14ac:dyDescent="0.25">
      <c r="A84" s="305"/>
      <c r="B84" s="164" t="s">
        <v>155</v>
      </c>
      <c r="C84" s="124" t="s">
        <v>9</v>
      </c>
      <c r="D84" s="148" t="s">
        <v>59</v>
      </c>
      <c r="E84" s="149">
        <f>SUM(E85:E89)</f>
        <v>22448.275862068964</v>
      </c>
      <c r="F84" s="150"/>
      <c r="G84" s="151">
        <f>SUM(G85:G89)</f>
        <v>269379.31034482759</v>
      </c>
      <c r="H84" s="128">
        <f t="shared" si="29"/>
        <v>144252.66</v>
      </c>
      <c r="I84" s="153">
        <f>SUM(I85:I89)</f>
        <v>1.8674131232299465</v>
      </c>
      <c r="J84" s="172">
        <f t="shared" ref="J84" si="32">SUM(J85:J89)</f>
        <v>0</v>
      </c>
    </row>
    <row r="85" spans="1:11" x14ac:dyDescent="0.25">
      <c r="A85" s="305"/>
      <c r="B85" s="192" t="s">
        <v>156</v>
      </c>
      <c r="C85" s="101" t="s">
        <v>185</v>
      </c>
      <c r="D85" s="43" t="s">
        <v>142</v>
      </c>
      <c r="E85" s="48">
        <v>15000</v>
      </c>
      <c r="F85" s="46">
        <v>12</v>
      </c>
      <c r="G85" s="40">
        <f>E85*F85</f>
        <v>180000</v>
      </c>
      <c r="H85" s="87">
        <f t="shared" si="29"/>
        <v>144252.66</v>
      </c>
      <c r="I85" s="77">
        <f t="shared" ref="I85:I89" si="33">G85/H85</f>
        <v>1.247810612296508</v>
      </c>
      <c r="J85" s="34" t="s">
        <v>38</v>
      </c>
    </row>
    <row r="86" spans="1:11" x14ac:dyDescent="0.25">
      <c r="A86" s="305"/>
      <c r="B86" s="192" t="s">
        <v>157</v>
      </c>
      <c r="C86" s="129" t="s">
        <v>11</v>
      </c>
      <c r="D86" s="43" t="s">
        <v>98</v>
      </c>
      <c r="E86" s="40">
        <f>E85/0.87*0.13</f>
        <v>2241.3793103448274</v>
      </c>
      <c r="F86" s="46">
        <v>12</v>
      </c>
      <c r="G86" s="40">
        <f>E86*F86</f>
        <v>26896.551724137928</v>
      </c>
      <c r="H86" s="87">
        <f t="shared" si="29"/>
        <v>144252.66</v>
      </c>
      <c r="I86" s="77">
        <f t="shared" si="33"/>
        <v>0.1864544593086736</v>
      </c>
      <c r="J86" s="34" t="s">
        <v>38</v>
      </c>
    </row>
    <row r="87" spans="1:11" x14ac:dyDescent="0.25">
      <c r="A87" s="305"/>
      <c r="B87" s="192" t="s">
        <v>158</v>
      </c>
      <c r="C87" s="129" t="s">
        <v>33</v>
      </c>
      <c r="D87" s="47" t="s">
        <v>99</v>
      </c>
      <c r="E87" s="40">
        <f>E85/0.87*0.22</f>
        <v>3793.1034482758619</v>
      </c>
      <c r="F87" s="46">
        <v>12</v>
      </c>
      <c r="G87" s="40">
        <f>E87*F87</f>
        <v>45517.241379310341</v>
      </c>
      <c r="H87" s="87">
        <f t="shared" si="29"/>
        <v>144252.66</v>
      </c>
      <c r="I87" s="77">
        <f t="shared" si="33"/>
        <v>0.31553831575313995</v>
      </c>
      <c r="J87" s="34" t="s">
        <v>38</v>
      </c>
    </row>
    <row r="88" spans="1:11" x14ac:dyDescent="0.25">
      <c r="A88" s="305"/>
      <c r="B88" s="192" t="s">
        <v>159</v>
      </c>
      <c r="C88" s="129" t="s">
        <v>26</v>
      </c>
      <c r="D88" s="42" t="s">
        <v>100</v>
      </c>
      <c r="E88" s="40">
        <f>E85/0.87*0.051</f>
        <v>879.31034482758605</v>
      </c>
      <c r="F88" s="46">
        <v>12</v>
      </c>
      <c r="G88" s="40">
        <f>E88*F88</f>
        <v>10551.724137931033</v>
      </c>
      <c r="H88" s="87">
        <f t="shared" si="29"/>
        <v>144252.66</v>
      </c>
      <c r="I88" s="77">
        <f t="shared" si="33"/>
        <v>7.3147518651864252E-2</v>
      </c>
      <c r="J88" s="34" t="s">
        <v>38</v>
      </c>
    </row>
    <row r="89" spans="1:11" ht="15.75" thickBot="1" x14ac:dyDescent="0.3">
      <c r="A89" s="305"/>
      <c r="B89" s="193" t="s">
        <v>160</v>
      </c>
      <c r="C89" s="156" t="s">
        <v>12</v>
      </c>
      <c r="D89" s="157" t="s">
        <v>154</v>
      </c>
      <c r="E89" s="91">
        <f>E85/0.87*0.031</f>
        <v>534.48275862068965</v>
      </c>
      <c r="F89" s="134">
        <v>12</v>
      </c>
      <c r="G89" s="91">
        <f>E89*F89</f>
        <v>6413.7931034482754</v>
      </c>
      <c r="H89" s="136">
        <f t="shared" si="29"/>
        <v>144252.66</v>
      </c>
      <c r="I89" s="90">
        <f t="shared" si="33"/>
        <v>4.4462217219760632E-2</v>
      </c>
      <c r="J89" s="137" t="s">
        <v>38</v>
      </c>
    </row>
    <row r="90" spans="1:11" x14ac:dyDescent="0.25">
      <c r="A90" s="305"/>
      <c r="B90" s="164" t="s">
        <v>161</v>
      </c>
      <c r="C90" s="124" t="s">
        <v>10</v>
      </c>
      <c r="D90" s="148" t="s">
        <v>59</v>
      </c>
      <c r="E90" s="149">
        <f>SUM(E91:E95)</f>
        <v>7482.7586206896549</v>
      </c>
      <c r="F90" s="150"/>
      <c r="G90" s="151">
        <f>SUM(G91:G95)</f>
        <v>89793.103448275855</v>
      </c>
      <c r="H90" s="128">
        <f t="shared" si="29"/>
        <v>144252.66</v>
      </c>
      <c r="I90" s="153">
        <f>SUM(I91:I95)</f>
        <v>0.62247104107664886</v>
      </c>
      <c r="J90" s="172">
        <f t="shared" ref="J90" si="34">SUM(J91:J95)</f>
        <v>0</v>
      </c>
    </row>
    <row r="91" spans="1:11" x14ac:dyDescent="0.25">
      <c r="A91" s="305"/>
      <c r="B91" s="192" t="s">
        <v>162</v>
      </c>
      <c r="C91" s="101" t="s">
        <v>185</v>
      </c>
      <c r="D91" s="43" t="s">
        <v>142</v>
      </c>
      <c r="E91" s="48">
        <v>5000</v>
      </c>
      <c r="F91" s="46">
        <v>12</v>
      </c>
      <c r="G91" s="40">
        <f>E91*F91</f>
        <v>60000</v>
      </c>
      <c r="H91" s="87">
        <f t="shared" si="29"/>
        <v>144252.66</v>
      </c>
      <c r="I91" s="77">
        <f t="shared" ref="I91:I95" si="35">G91/H91</f>
        <v>0.41593687076550268</v>
      </c>
      <c r="J91" s="34" t="s">
        <v>38</v>
      </c>
    </row>
    <row r="92" spans="1:11" x14ac:dyDescent="0.25">
      <c r="A92" s="305"/>
      <c r="B92" s="192" t="s">
        <v>163</v>
      </c>
      <c r="C92" s="129" t="s">
        <v>11</v>
      </c>
      <c r="D92" s="43" t="s">
        <v>98</v>
      </c>
      <c r="E92" s="40">
        <f>E91/0.87*0.13</f>
        <v>747.12643678160919</v>
      </c>
      <c r="F92" s="46">
        <v>12</v>
      </c>
      <c r="G92" s="40">
        <f>E92*F92</f>
        <v>8965.5172413793098</v>
      </c>
      <c r="H92" s="87">
        <f t="shared" si="29"/>
        <v>144252.66</v>
      </c>
      <c r="I92" s="77">
        <f t="shared" si="35"/>
        <v>6.2151486436224535E-2</v>
      </c>
      <c r="J92" s="34" t="s">
        <v>38</v>
      </c>
    </row>
    <row r="93" spans="1:11" x14ac:dyDescent="0.25">
      <c r="A93" s="305"/>
      <c r="B93" s="192" t="s">
        <v>164</v>
      </c>
      <c r="C93" s="129" t="s">
        <v>33</v>
      </c>
      <c r="D93" s="47" t="s">
        <v>99</v>
      </c>
      <c r="E93" s="40">
        <f>E91/0.87*0.22</f>
        <v>1264.367816091954</v>
      </c>
      <c r="F93" s="46">
        <v>12</v>
      </c>
      <c r="G93" s="40">
        <f>E93*F93</f>
        <v>15172.413793103447</v>
      </c>
      <c r="H93" s="87">
        <f t="shared" si="29"/>
        <v>144252.66</v>
      </c>
      <c r="I93" s="77">
        <f t="shared" si="35"/>
        <v>0.10517943858437999</v>
      </c>
      <c r="J93" s="34" t="s">
        <v>38</v>
      </c>
    </row>
    <row r="94" spans="1:11" x14ac:dyDescent="0.25">
      <c r="A94" s="305"/>
      <c r="B94" s="192" t="s">
        <v>165</v>
      </c>
      <c r="C94" s="129" t="s">
        <v>26</v>
      </c>
      <c r="D94" s="42" t="s">
        <v>100</v>
      </c>
      <c r="E94" s="40">
        <f>E91/0.87*0.051</f>
        <v>293.10344827586204</v>
      </c>
      <c r="F94" s="46">
        <v>12</v>
      </c>
      <c r="G94" s="40">
        <f>E94*F94</f>
        <v>3517.2413793103442</v>
      </c>
      <c r="H94" s="87">
        <f t="shared" si="29"/>
        <v>144252.66</v>
      </c>
      <c r="I94" s="77">
        <f t="shared" si="35"/>
        <v>2.4382506217288085E-2</v>
      </c>
      <c r="J94" s="34" t="s">
        <v>38</v>
      </c>
    </row>
    <row r="95" spans="1:11" ht="15.75" thickBot="1" x14ac:dyDescent="0.3">
      <c r="A95" s="305"/>
      <c r="B95" s="193" t="s">
        <v>166</v>
      </c>
      <c r="C95" s="156" t="s">
        <v>12</v>
      </c>
      <c r="D95" s="157" t="s">
        <v>154</v>
      </c>
      <c r="E95" s="91">
        <f>E91/0.87*0.031</f>
        <v>178.16091954022988</v>
      </c>
      <c r="F95" s="134">
        <v>12</v>
      </c>
      <c r="G95" s="91">
        <f>E95*F95</f>
        <v>2137.9310344827586</v>
      </c>
      <c r="H95" s="136">
        <f t="shared" si="29"/>
        <v>144252.66</v>
      </c>
      <c r="I95" s="90">
        <f t="shared" si="35"/>
        <v>1.4820739073253543E-2</v>
      </c>
      <c r="J95" s="137" t="s">
        <v>38</v>
      </c>
    </row>
    <row r="96" spans="1:11" x14ac:dyDescent="0.25">
      <c r="A96" s="294"/>
      <c r="B96" s="108" t="s">
        <v>167</v>
      </c>
      <c r="C96" s="130" t="s">
        <v>15</v>
      </c>
      <c r="D96" s="131" t="s">
        <v>59</v>
      </c>
      <c r="E96" s="149">
        <f>SUM(E97:E101)</f>
        <v>2244.8275862068963</v>
      </c>
      <c r="F96" s="150"/>
      <c r="G96" s="151">
        <f>SUM(G97:G101)</f>
        <v>26937.931034482757</v>
      </c>
      <c r="H96" s="128">
        <f t="shared" si="29"/>
        <v>144252.66</v>
      </c>
      <c r="I96" s="153">
        <f>SUM(I97:I101)</f>
        <v>0.18674131232299465</v>
      </c>
      <c r="J96" s="172">
        <f t="shared" ref="J96" si="36">SUM(J97:J101)</f>
        <v>0</v>
      </c>
    </row>
    <row r="97" spans="1:10" x14ac:dyDescent="0.25">
      <c r="A97" s="294"/>
      <c r="B97" s="192" t="s">
        <v>168</v>
      </c>
      <c r="C97" s="101" t="s">
        <v>185</v>
      </c>
      <c r="D97" s="43" t="s">
        <v>142</v>
      </c>
      <c r="E97" s="48">
        <v>1500</v>
      </c>
      <c r="F97" s="46">
        <v>12</v>
      </c>
      <c r="G97" s="40">
        <f>E97*F97</f>
        <v>18000</v>
      </c>
      <c r="H97" s="87">
        <f t="shared" si="29"/>
        <v>144252.66</v>
      </c>
      <c r="I97" s="77">
        <f t="shared" ref="I97:I101" si="37">G97/H97</f>
        <v>0.12478106122965081</v>
      </c>
      <c r="J97" s="34" t="s">
        <v>38</v>
      </c>
    </row>
    <row r="98" spans="1:10" x14ac:dyDescent="0.25">
      <c r="A98" s="294"/>
      <c r="B98" s="192" t="s">
        <v>169</v>
      </c>
      <c r="C98" s="129" t="s">
        <v>11</v>
      </c>
      <c r="D98" s="43" t="s">
        <v>98</v>
      </c>
      <c r="E98" s="40">
        <f>E97/0.87*0.13</f>
        <v>224.13793103448276</v>
      </c>
      <c r="F98" s="46">
        <v>12</v>
      </c>
      <c r="G98" s="40">
        <f>E98*F98</f>
        <v>2689.655172413793</v>
      </c>
      <c r="H98" s="87">
        <f t="shared" si="29"/>
        <v>144252.66</v>
      </c>
      <c r="I98" s="77">
        <f t="shared" si="37"/>
        <v>1.8645445930867362E-2</v>
      </c>
      <c r="J98" s="34" t="s">
        <v>38</v>
      </c>
    </row>
    <row r="99" spans="1:10" x14ac:dyDescent="0.25">
      <c r="A99" s="294"/>
      <c r="B99" s="192" t="s">
        <v>170</v>
      </c>
      <c r="C99" s="129" t="s">
        <v>33</v>
      </c>
      <c r="D99" s="47" t="s">
        <v>99</v>
      </c>
      <c r="E99" s="40">
        <f>E97/0.87*0.22</f>
        <v>379.31034482758622</v>
      </c>
      <c r="F99" s="46">
        <v>12</v>
      </c>
      <c r="G99" s="40">
        <f>E99*F99</f>
        <v>4551.7241379310344</v>
      </c>
      <c r="H99" s="87">
        <f t="shared" si="29"/>
        <v>144252.66</v>
      </c>
      <c r="I99" s="77">
        <f t="shared" si="37"/>
        <v>3.1553831575313995E-2</v>
      </c>
      <c r="J99" s="34" t="s">
        <v>38</v>
      </c>
    </row>
    <row r="100" spans="1:10" x14ac:dyDescent="0.25">
      <c r="A100" s="294"/>
      <c r="B100" s="192" t="s">
        <v>171</v>
      </c>
      <c r="C100" s="129" t="s">
        <v>26</v>
      </c>
      <c r="D100" s="42" t="s">
        <v>100</v>
      </c>
      <c r="E100" s="40">
        <f>E97/0.87*0.051</f>
        <v>87.931034482758619</v>
      </c>
      <c r="F100" s="46">
        <v>12</v>
      </c>
      <c r="G100" s="40">
        <f>E100*F100</f>
        <v>1055.1724137931035</v>
      </c>
      <c r="H100" s="87">
        <f t="shared" si="29"/>
        <v>144252.66</v>
      </c>
      <c r="I100" s="77">
        <f t="shared" si="37"/>
        <v>7.3147518651864264E-3</v>
      </c>
      <c r="J100" s="34" t="s">
        <v>38</v>
      </c>
    </row>
    <row r="101" spans="1:10" ht="15.75" thickBot="1" x14ac:dyDescent="0.3">
      <c r="A101" s="294"/>
      <c r="B101" s="193" t="s">
        <v>172</v>
      </c>
      <c r="C101" s="156" t="s">
        <v>12</v>
      </c>
      <c r="D101" s="157" t="s">
        <v>154</v>
      </c>
      <c r="E101" s="91">
        <f>E97/0.87*0.031</f>
        <v>53.448275862068968</v>
      </c>
      <c r="F101" s="134">
        <v>12</v>
      </c>
      <c r="G101" s="91">
        <f>E101*F101</f>
        <v>641.37931034482767</v>
      </c>
      <c r="H101" s="136">
        <f t="shared" si="29"/>
        <v>144252.66</v>
      </c>
      <c r="I101" s="90">
        <f t="shared" si="37"/>
        <v>4.4462217219760642E-3</v>
      </c>
      <c r="J101" s="137" t="s">
        <v>38</v>
      </c>
    </row>
    <row r="102" spans="1:10" x14ac:dyDescent="0.25">
      <c r="A102" s="305"/>
      <c r="B102" s="164" t="s">
        <v>173</v>
      </c>
      <c r="C102" s="124" t="s">
        <v>24</v>
      </c>
      <c r="D102" s="50" t="s">
        <v>59</v>
      </c>
      <c r="E102" s="149">
        <f>SUM(E103:E107)</f>
        <v>7482.7586206896549</v>
      </c>
      <c r="F102" s="150"/>
      <c r="G102" s="151">
        <f>SUM(G103:G107)</f>
        <v>37413.793103448275</v>
      </c>
      <c r="H102" s="128">
        <f t="shared" si="29"/>
        <v>144252.66</v>
      </c>
      <c r="I102" s="153">
        <f>SUM(I103:I107)</f>
        <v>0.25936293378193698</v>
      </c>
      <c r="J102" s="172">
        <f t="shared" ref="J102" si="38">SUM(J103:J107)</f>
        <v>0</v>
      </c>
    </row>
    <row r="103" spans="1:10" x14ac:dyDescent="0.25">
      <c r="A103" s="305"/>
      <c r="B103" s="192" t="s">
        <v>174</v>
      </c>
      <c r="C103" s="101" t="s">
        <v>185</v>
      </c>
      <c r="D103" s="43" t="s">
        <v>142</v>
      </c>
      <c r="E103" s="48">
        <v>5000</v>
      </c>
      <c r="F103" s="1">
        <v>5</v>
      </c>
      <c r="G103" s="40">
        <f>E103*F103</f>
        <v>25000</v>
      </c>
      <c r="H103" s="87">
        <f t="shared" si="29"/>
        <v>144252.66</v>
      </c>
      <c r="I103" s="77">
        <f t="shared" ref="I103:I107" si="39">G103/H103</f>
        <v>0.17330702948562612</v>
      </c>
      <c r="J103" s="34" t="s">
        <v>38</v>
      </c>
    </row>
    <row r="104" spans="1:10" x14ac:dyDescent="0.25">
      <c r="A104" s="305"/>
      <c r="B104" s="192" t="s">
        <v>175</v>
      </c>
      <c r="C104" s="129" t="s">
        <v>11</v>
      </c>
      <c r="D104" s="43" t="s">
        <v>98</v>
      </c>
      <c r="E104" s="40">
        <f>E103/0.87*0.13</f>
        <v>747.12643678160919</v>
      </c>
      <c r="F104" s="1">
        <v>5</v>
      </c>
      <c r="G104" s="40">
        <f>E104*F104</f>
        <v>3735.632183908046</v>
      </c>
      <c r="H104" s="87">
        <f t="shared" si="29"/>
        <v>144252.66</v>
      </c>
      <c r="I104" s="77">
        <f t="shared" si="39"/>
        <v>2.5896452681760225E-2</v>
      </c>
      <c r="J104" s="34" t="s">
        <v>38</v>
      </c>
    </row>
    <row r="105" spans="1:10" x14ac:dyDescent="0.25">
      <c r="A105" s="305"/>
      <c r="B105" s="192" t="s">
        <v>176</v>
      </c>
      <c r="C105" s="129" t="s">
        <v>33</v>
      </c>
      <c r="D105" s="47" t="s">
        <v>99</v>
      </c>
      <c r="E105" s="40">
        <f>E103/0.87*0.22</f>
        <v>1264.367816091954</v>
      </c>
      <c r="F105" s="1">
        <v>5</v>
      </c>
      <c r="G105" s="40">
        <f>E105*F105</f>
        <v>6321.8390804597693</v>
      </c>
      <c r="H105" s="87">
        <f t="shared" si="29"/>
        <v>144252.66</v>
      </c>
      <c r="I105" s="77">
        <f t="shared" si="39"/>
        <v>4.3824766076824992E-2</v>
      </c>
      <c r="J105" s="34" t="s">
        <v>38</v>
      </c>
    </row>
    <row r="106" spans="1:10" x14ac:dyDescent="0.25">
      <c r="A106" s="305"/>
      <c r="B106" s="192" t="s">
        <v>177</v>
      </c>
      <c r="C106" s="129" t="s">
        <v>26</v>
      </c>
      <c r="D106" s="42" t="s">
        <v>100</v>
      </c>
      <c r="E106" s="40">
        <f>E103/0.87*0.051</f>
        <v>293.10344827586204</v>
      </c>
      <c r="F106" s="1">
        <v>5</v>
      </c>
      <c r="G106" s="40">
        <f>E106*F106</f>
        <v>1465.5172413793102</v>
      </c>
      <c r="H106" s="87">
        <f t="shared" si="29"/>
        <v>144252.66</v>
      </c>
      <c r="I106" s="77">
        <f t="shared" si="39"/>
        <v>1.0159377590536704E-2</v>
      </c>
      <c r="J106" s="34" t="s">
        <v>38</v>
      </c>
    </row>
    <row r="107" spans="1:10" ht="15.75" thickBot="1" x14ac:dyDescent="0.3">
      <c r="A107" s="305"/>
      <c r="B107" s="193" t="s">
        <v>178</v>
      </c>
      <c r="C107" s="156" t="s">
        <v>12</v>
      </c>
      <c r="D107" s="157" t="s">
        <v>154</v>
      </c>
      <c r="E107" s="91">
        <f>E103/0.87*0.031</f>
        <v>178.16091954022988</v>
      </c>
      <c r="F107" s="55">
        <v>5</v>
      </c>
      <c r="G107" s="91">
        <f>E107*F107</f>
        <v>890.80459770114942</v>
      </c>
      <c r="H107" s="136">
        <f t="shared" si="29"/>
        <v>144252.66</v>
      </c>
      <c r="I107" s="90">
        <f t="shared" si="39"/>
        <v>6.1753079471889762E-3</v>
      </c>
      <c r="J107" s="137" t="s">
        <v>38</v>
      </c>
    </row>
    <row r="108" spans="1:10" x14ac:dyDescent="0.25">
      <c r="A108" s="305"/>
      <c r="B108" s="164" t="s">
        <v>179</v>
      </c>
      <c r="C108" s="124" t="s">
        <v>17</v>
      </c>
      <c r="D108" s="148" t="s">
        <v>59</v>
      </c>
      <c r="E108" s="149">
        <f>SUM(E109:E113)</f>
        <v>5986.2068965517237</v>
      </c>
      <c r="F108" s="150"/>
      <c r="G108" s="151">
        <f>SUM(G109:G113)</f>
        <v>35917.241379310341</v>
      </c>
      <c r="H108" s="128">
        <f t="shared" si="29"/>
        <v>144252.66</v>
      </c>
      <c r="I108" s="153">
        <f>SUM(I109:I113)</f>
        <v>0.24898841643065955</v>
      </c>
      <c r="J108" s="172">
        <f>SUM(J109:J113)</f>
        <v>0</v>
      </c>
    </row>
    <row r="109" spans="1:10" x14ac:dyDescent="0.25">
      <c r="A109" s="305"/>
      <c r="B109" s="192" t="s">
        <v>180</v>
      </c>
      <c r="C109" s="101" t="s">
        <v>185</v>
      </c>
      <c r="D109" s="43" t="s">
        <v>142</v>
      </c>
      <c r="E109" s="48">
        <v>4000</v>
      </c>
      <c r="F109" s="1">
        <v>6</v>
      </c>
      <c r="G109" s="40">
        <f>E109*F109</f>
        <v>24000</v>
      </c>
      <c r="H109" s="87">
        <f t="shared" si="29"/>
        <v>144252.66</v>
      </c>
      <c r="I109" s="77">
        <f t="shared" ref="I109:I113" si="40">G109/H109</f>
        <v>0.16637474830620108</v>
      </c>
      <c r="J109" s="34" t="s">
        <v>38</v>
      </c>
    </row>
    <row r="110" spans="1:10" x14ac:dyDescent="0.25">
      <c r="A110" s="305"/>
      <c r="B110" s="192" t="s">
        <v>181</v>
      </c>
      <c r="C110" s="129" t="s">
        <v>11</v>
      </c>
      <c r="D110" s="43" t="s">
        <v>98</v>
      </c>
      <c r="E110" s="40">
        <f>E109/0.87*0.13</f>
        <v>597.70114942528744</v>
      </c>
      <c r="F110" s="1">
        <v>6</v>
      </c>
      <c r="G110" s="40">
        <f>E110*F110</f>
        <v>3586.2068965517246</v>
      </c>
      <c r="H110" s="87">
        <f t="shared" si="29"/>
        <v>144252.66</v>
      </c>
      <c r="I110" s="77">
        <f t="shared" si="40"/>
        <v>2.486059457448982E-2</v>
      </c>
      <c r="J110" s="34" t="s">
        <v>38</v>
      </c>
    </row>
    <row r="111" spans="1:10" x14ac:dyDescent="0.25">
      <c r="A111" s="305"/>
      <c r="B111" s="192" t="s">
        <v>182</v>
      </c>
      <c r="C111" s="129" t="s">
        <v>33</v>
      </c>
      <c r="D111" s="47" t="s">
        <v>99</v>
      </c>
      <c r="E111" s="40">
        <f>E109/0.87*0.22</f>
        <v>1011.4942528735633</v>
      </c>
      <c r="F111" s="1">
        <v>6</v>
      </c>
      <c r="G111" s="40">
        <f>E111*F111</f>
        <v>6068.9655172413795</v>
      </c>
      <c r="H111" s="87">
        <f t="shared" si="29"/>
        <v>144252.66</v>
      </c>
      <c r="I111" s="77">
        <f t="shared" si="40"/>
        <v>4.2071775433751998E-2</v>
      </c>
      <c r="J111" s="34" t="s">
        <v>38</v>
      </c>
    </row>
    <row r="112" spans="1:10" x14ac:dyDescent="0.25">
      <c r="A112" s="305"/>
      <c r="B112" s="192" t="s">
        <v>183</v>
      </c>
      <c r="C112" s="129" t="s">
        <v>26</v>
      </c>
      <c r="D112" s="42" t="s">
        <v>100</v>
      </c>
      <c r="E112" s="40">
        <f>E109/0.87*0.051</f>
        <v>234.48275862068965</v>
      </c>
      <c r="F112" s="1">
        <v>6</v>
      </c>
      <c r="G112" s="40">
        <f>E112*F112</f>
        <v>1406.8965517241379</v>
      </c>
      <c r="H112" s="87">
        <f t="shared" si="29"/>
        <v>144252.66</v>
      </c>
      <c r="I112" s="77">
        <f t="shared" si="40"/>
        <v>9.7530024869152358E-3</v>
      </c>
      <c r="J112" s="34" t="s">
        <v>38</v>
      </c>
    </row>
    <row r="113" spans="1:11" ht="15.75" thickBot="1" x14ac:dyDescent="0.3">
      <c r="A113" s="305"/>
      <c r="B113" s="193" t="s">
        <v>184</v>
      </c>
      <c r="C113" s="156" t="s">
        <v>12</v>
      </c>
      <c r="D113" s="157" t="s">
        <v>154</v>
      </c>
      <c r="E113" s="91">
        <f>E109/0.87*0.031</f>
        <v>142.5287356321839</v>
      </c>
      <c r="F113" s="55">
        <v>6</v>
      </c>
      <c r="G113" s="91">
        <f>E113*F113</f>
        <v>855.17241379310337</v>
      </c>
      <c r="H113" s="136">
        <f t="shared" si="29"/>
        <v>144252.66</v>
      </c>
      <c r="I113" s="90">
        <f t="shared" si="40"/>
        <v>5.9282956293014175E-3</v>
      </c>
      <c r="J113" s="137" t="s">
        <v>38</v>
      </c>
    </row>
    <row r="114" spans="1:11" x14ac:dyDescent="0.25">
      <c r="A114" s="305"/>
      <c r="B114" s="164" t="s">
        <v>186</v>
      </c>
      <c r="C114" s="124" t="s">
        <v>18</v>
      </c>
      <c r="D114" s="148" t="s">
        <v>59</v>
      </c>
      <c r="E114" s="149">
        <f>SUM(E115:E119)</f>
        <v>748.27586206896547</v>
      </c>
      <c r="F114" s="150"/>
      <c r="G114" s="151">
        <f>SUM(G115:G119)</f>
        <v>4489.6551724137926</v>
      </c>
      <c r="H114" s="128">
        <f t="shared" si="29"/>
        <v>144252.66</v>
      </c>
      <c r="I114" s="153">
        <f>SUM(I115:I119)</f>
        <v>3.1123552053832444E-2</v>
      </c>
      <c r="J114" s="172">
        <f>SUM(J115:J119)</f>
        <v>0</v>
      </c>
    </row>
    <row r="115" spans="1:11" x14ac:dyDescent="0.25">
      <c r="A115" s="305"/>
      <c r="B115" s="192" t="s">
        <v>187</v>
      </c>
      <c r="C115" s="101" t="s">
        <v>185</v>
      </c>
      <c r="D115" s="43" t="s">
        <v>142</v>
      </c>
      <c r="E115" s="48">
        <v>500</v>
      </c>
      <c r="F115" s="1">
        <v>6</v>
      </c>
      <c r="G115" s="40">
        <f>E115*F115</f>
        <v>3000</v>
      </c>
      <c r="H115" s="87">
        <f t="shared" si="29"/>
        <v>144252.66</v>
      </c>
      <c r="I115" s="77">
        <f t="shared" ref="I115:I119" si="41">G115/H115</f>
        <v>2.0796843538275135E-2</v>
      </c>
      <c r="J115" s="34" t="s">
        <v>38</v>
      </c>
    </row>
    <row r="116" spans="1:11" x14ac:dyDescent="0.25">
      <c r="A116" s="305"/>
      <c r="B116" s="192" t="s">
        <v>188</v>
      </c>
      <c r="C116" s="129" t="s">
        <v>11</v>
      </c>
      <c r="D116" s="43" t="s">
        <v>98</v>
      </c>
      <c r="E116" s="40">
        <f>E115/0.87*0.13</f>
        <v>74.71264367816093</v>
      </c>
      <c r="F116" s="1">
        <v>6</v>
      </c>
      <c r="G116" s="40">
        <f>E116*F116</f>
        <v>448.27586206896558</v>
      </c>
      <c r="H116" s="87">
        <f t="shared" si="29"/>
        <v>144252.66</v>
      </c>
      <c r="I116" s="77">
        <f t="shared" si="41"/>
        <v>3.1075743218112275E-3</v>
      </c>
      <c r="J116" s="34" t="s">
        <v>38</v>
      </c>
    </row>
    <row r="117" spans="1:11" x14ac:dyDescent="0.25">
      <c r="A117" s="305"/>
      <c r="B117" s="192" t="s">
        <v>189</v>
      </c>
      <c r="C117" s="129" t="s">
        <v>33</v>
      </c>
      <c r="D117" s="47" t="s">
        <v>99</v>
      </c>
      <c r="E117" s="40">
        <f>E115/0.87*0.22</f>
        <v>126.43678160919541</v>
      </c>
      <c r="F117" s="1">
        <v>6</v>
      </c>
      <c r="G117" s="40">
        <f>E117*F117</f>
        <v>758.62068965517244</v>
      </c>
      <c r="H117" s="87">
        <f t="shared" si="29"/>
        <v>144252.66</v>
      </c>
      <c r="I117" s="77">
        <f t="shared" si="41"/>
        <v>5.2589719292189998E-3</v>
      </c>
      <c r="J117" s="34" t="s">
        <v>38</v>
      </c>
    </row>
    <row r="118" spans="1:11" x14ac:dyDescent="0.25">
      <c r="A118" s="305"/>
      <c r="B118" s="192" t="s">
        <v>190</v>
      </c>
      <c r="C118" s="129" t="s">
        <v>26</v>
      </c>
      <c r="D118" s="42" t="s">
        <v>100</v>
      </c>
      <c r="E118" s="40">
        <f>E115/0.87*0.051</f>
        <v>29.310344827586206</v>
      </c>
      <c r="F118" s="1">
        <v>6</v>
      </c>
      <c r="G118" s="40">
        <f>E118*F118</f>
        <v>175.86206896551724</v>
      </c>
      <c r="H118" s="87">
        <f t="shared" si="29"/>
        <v>144252.66</v>
      </c>
      <c r="I118" s="77">
        <f t="shared" si="41"/>
        <v>1.2191253108644045E-3</v>
      </c>
      <c r="J118" s="34" t="s">
        <v>38</v>
      </c>
    </row>
    <row r="119" spans="1:11" ht="15.75" thickBot="1" x14ac:dyDescent="0.3">
      <c r="A119" s="305"/>
      <c r="B119" s="193" t="s">
        <v>191</v>
      </c>
      <c r="C119" s="156" t="s">
        <v>12</v>
      </c>
      <c r="D119" s="157" t="s">
        <v>154</v>
      </c>
      <c r="E119" s="91">
        <f>E115/0.87*0.031</f>
        <v>17.816091954022987</v>
      </c>
      <c r="F119" s="55">
        <v>6</v>
      </c>
      <c r="G119" s="91">
        <f>E119*F119</f>
        <v>106.89655172413792</v>
      </c>
      <c r="H119" s="136">
        <f t="shared" si="29"/>
        <v>144252.66</v>
      </c>
      <c r="I119" s="90">
        <f t="shared" si="41"/>
        <v>7.4103695366267719E-4</v>
      </c>
      <c r="J119" s="137" t="s">
        <v>38</v>
      </c>
    </row>
    <row r="120" spans="1:11" x14ac:dyDescent="0.25">
      <c r="A120" s="294"/>
      <c r="B120" s="108" t="s">
        <v>214</v>
      </c>
      <c r="C120" s="46" t="s">
        <v>22</v>
      </c>
      <c r="D120" s="131" t="s">
        <v>54</v>
      </c>
      <c r="E120" s="211"/>
      <c r="F120" s="46"/>
      <c r="G120" s="273">
        <f>SUM(G78,G84,G90,G96,G102,G108,G114)*0.0909</f>
        <v>91144.489655172409</v>
      </c>
      <c r="H120" s="73">
        <f t="shared" si="29"/>
        <v>144252.66</v>
      </c>
      <c r="I120" s="76">
        <f>G120/H120</f>
        <v>0.63183923024485233</v>
      </c>
      <c r="J120" s="34" t="s">
        <v>38</v>
      </c>
      <c r="K120" s="13"/>
    </row>
    <row r="121" spans="1:11" ht="15.75" thickBot="1" x14ac:dyDescent="0.3">
      <c r="A121" s="6" t="s">
        <v>14</v>
      </c>
      <c r="B121" s="109"/>
      <c r="C121" s="8"/>
      <c r="D121" s="8"/>
      <c r="E121" s="22"/>
      <c r="F121" s="23"/>
      <c r="G121" s="24">
        <f>SUM(G78,G84,G90,G96,G102,G108,G114,G120)</f>
        <v>1093834.1448275861</v>
      </c>
      <c r="H121" s="37"/>
      <c r="I121" s="78">
        <f t="shared" ref="I121:J121" si="42">SUM(I78,I84,I90,I96,I102,I108,I114,I120)</f>
        <v>7.5827658556007638</v>
      </c>
      <c r="J121" s="33">
        <f t="shared" si="42"/>
        <v>0</v>
      </c>
    </row>
    <row r="122" spans="1:11" ht="30" x14ac:dyDescent="0.25">
      <c r="A122" s="293" t="s">
        <v>198</v>
      </c>
      <c r="B122" s="107"/>
      <c r="C122" s="124" t="s">
        <v>13</v>
      </c>
      <c r="D122" s="176" t="s">
        <v>46</v>
      </c>
      <c r="E122" s="212"/>
      <c r="F122" s="150"/>
      <c r="G122" s="213">
        <v>10000</v>
      </c>
      <c r="H122" s="214">
        <f t="shared" ref="H122:H131" si="43">$J$7</f>
        <v>144252.66</v>
      </c>
      <c r="I122" s="205">
        <f t="shared" ref="I122:I131" si="44">G122/H122</f>
        <v>6.9322811794250441E-2</v>
      </c>
      <c r="J122" s="172" t="s">
        <v>38</v>
      </c>
    </row>
    <row r="123" spans="1:11" ht="30" x14ac:dyDescent="0.25">
      <c r="A123" s="294"/>
      <c r="B123" s="108"/>
      <c r="C123" s="206" t="s">
        <v>192</v>
      </c>
      <c r="D123" s="94" t="s">
        <v>234</v>
      </c>
      <c r="E123" s="216">
        <v>3000</v>
      </c>
      <c r="F123" s="93">
        <v>12</v>
      </c>
      <c r="G123" s="217">
        <f>E123*F123</f>
        <v>36000</v>
      </c>
      <c r="H123" s="218">
        <f t="shared" si="43"/>
        <v>144252.66</v>
      </c>
      <c r="I123" s="219">
        <f t="shared" si="44"/>
        <v>0.24956212245930162</v>
      </c>
      <c r="J123" s="185" t="s">
        <v>38</v>
      </c>
    </row>
    <row r="124" spans="1:11" ht="60" x14ac:dyDescent="0.25">
      <c r="A124" s="294"/>
      <c r="B124" s="108"/>
      <c r="C124" s="206" t="s">
        <v>193</v>
      </c>
      <c r="D124" s="94" t="s">
        <v>50</v>
      </c>
      <c r="E124" s="220"/>
      <c r="F124" s="93"/>
      <c r="G124" s="217">
        <v>10000</v>
      </c>
      <c r="H124" s="218">
        <f t="shared" si="43"/>
        <v>144252.66</v>
      </c>
      <c r="I124" s="219">
        <f t="shared" si="44"/>
        <v>6.9322811794250441E-2</v>
      </c>
      <c r="J124" s="185" t="s">
        <v>38</v>
      </c>
    </row>
    <row r="125" spans="1:11" x14ac:dyDescent="0.25">
      <c r="A125" s="294"/>
      <c r="B125" s="108"/>
      <c r="C125" s="206" t="s">
        <v>194</v>
      </c>
      <c r="D125" s="94"/>
      <c r="E125" s="95">
        <f>E126+E127</f>
        <v>1000</v>
      </c>
      <c r="F125" s="93"/>
      <c r="G125" s="217">
        <f>G126+G127</f>
        <v>12000</v>
      </c>
      <c r="H125" s="218">
        <f t="shared" si="43"/>
        <v>144252.66</v>
      </c>
      <c r="I125" s="219">
        <f t="shared" ref="I125" si="45">SUM(I126:I127)</f>
        <v>8.3187374153100541E-2</v>
      </c>
      <c r="J125" s="185">
        <f t="shared" ref="J125" si="46">SUM(J126:J127)</f>
        <v>0</v>
      </c>
    </row>
    <row r="126" spans="1:11" ht="45" x14ac:dyDescent="0.25">
      <c r="A126" s="294"/>
      <c r="B126" s="108"/>
      <c r="C126" s="231" t="s">
        <v>8</v>
      </c>
      <c r="D126" s="43" t="s">
        <v>55</v>
      </c>
      <c r="E126" s="44">
        <v>500</v>
      </c>
      <c r="F126" s="45">
        <v>12</v>
      </c>
      <c r="G126" s="51">
        <f>E126*F126</f>
        <v>6000</v>
      </c>
      <c r="H126" s="218">
        <f t="shared" si="43"/>
        <v>144252.66</v>
      </c>
      <c r="I126" s="274">
        <f t="shared" si="44"/>
        <v>4.159368707655027E-2</v>
      </c>
      <c r="J126" s="232" t="s">
        <v>38</v>
      </c>
    </row>
    <row r="127" spans="1:11" x14ac:dyDescent="0.25">
      <c r="A127" s="294"/>
      <c r="B127" s="108"/>
      <c r="C127" s="231" t="s">
        <v>195</v>
      </c>
      <c r="D127" s="43" t="s">
        <v>196</v>
      </c>
      <c r="E127" s="44">
        <v>500</v>
      </c>
      <c r="F127" s="45">
        <v>12</v>
      </c>
      <c r="G127" s="51">
        <f>E127*F127</f>
        <v>6000</v>
      </c>
      <c r="H127" s="218">
        <f t="shared" si="43"/>
        <v>144252.66</v>
      </c>
      <c r="I127" s="274">
        <f t="shared" si="44"/>
        <v>4.159368707655027E-2</v>
      </c>
      <c r="J127" s="232" t="s">
        <v>38</v>
      </c>
    </row>
    <row r="128" spans="1:11" x14ac:dyDescent="0.25">
      <c r="A128" s="294"/>
      <c r="B128" s="108"/>
      <c r="C128" s="206" t="s">
        <v>16</v>
      </c>
      <c r="D128" s="94" t="s">
        <v>51</v>
      </c>
      <c r="E128" s="220"/>
      <c r="F128" s="93"/>
      <c r="G128" s="217">
        <v>5000</v>
      </c>
      <c r="H128" s="218">
        <f t="shared" si="43"/>
        <v>144252.66</v>
      </c>
      <c r="I128" s="219">
        <f t="shared" si="44"/>
        <v>3.4661405897125221E-2</v>
      </c>
      <c r="J128" s="232" t="s">
        <v>38</v>
      </c>
    </row>
    <row r="129" spans="1:10" x14ac:dyDescent="0.25">
      <c r="A129" s="294"/>
      <c r="B129" s="108"/>
      <c r="C129" s="206" t="s">
        <v>199</v>
      </c>
      <c r="D129" s="94" t="s">
        <v>200</v>
      </c>
      <c r="E129" s="95">
        <v>12000</v>
      </c>
      <c r="F129" s="93">
        <v>1</v>
      </c>
      <c r="G129" s="217">
        <f>E129*F129</f>
        <v>12000</v>
      </c>
      <c r="H129" s="218">
        <f t="shared" si="43"/>
        <v>144252.66</v>
      </c>
      <c r="I129" s="219">
        <f t="shared" si="44"/>
        <v>8.3187374153100541E-2</v>
      </c>
      <c r="J129" s="232" t="s">
        <v>38</v>
      </c>
    </row>
    <row r="130" spans="1:10" ht="30" x14ac:dyDescent="0.25">
      <c r="A130" s="294"/>
      <c r="B130" s="108"/>
      <c r="C130" s="206" t="s">
        <v>29</v>
      </c>
      <c r="D130" s="94" t="s">
        <v>241</v>
      </c>
      <c r="E130" s="220"/>
      <c r="F130" s="93"/>
      <c r="G130" s="217">
        <v>15000</v>
      </c>
      <c r="H130" s="218">
        <f t="shared" si="43"/>
        <v>144252.66</v>
      </c>
      <c r="I130" s="219">
        <f t="shared" si="44"/>
        <v>0.10398421769137567</v>
      </c>
      <c r="J130" s="185" t="s">
        <v>38</v>
      </c>
    </row>
    <row r="131" spans="1:10" ht="45" x14ac:dyDescent="0.25">
      <c r="A131" s="295"/>
      <c r="B131" s="110"/>
      <c r="C131" s="206" t="s">
        <v>242</v>
      </c>
      <c r="D131" s="94" t="s">
        <v>201</v>
      </c>
      <c r="E131" s="220"/>
      <c r="F131" s="93"/>
      <c r="G131" s="217">
        <v>5000</v>
      </c>
      <c r="H131" s="218">
        <f t="shared" si="43"/>
        <v>144252.66</v>
      </c>
      <c r="I131" s="219">
        <f t="shared" si="44"/>
        <v>3.4661405897125221E-2</v>
      </c>
      <c r="J131" s="185" t="s">
        <v>38</v>
      </c>
    </row>
    <row r="132" spans="1:10" ht="15.75" thickBot="1" x14ac:dyDescent="0.3">
      <c r="A132" s="6" t="s">
        <v>14</v>
      </c>
      <c r="B132" s="109"/>
      <c r="C132" s="8"/>
      <c r="D132" s="8"/>
      <c r="E132" s="276"/>
      <c r="F132" s="276"/>
      <c r="G132" s="26">
        <f>SUM(G122,G123,G124,G125,G128,G129,G130,G131)</f>
        <v>105000</v>
      </c>
      <c r="H132" s="37"/>
      <c r="I132" s="275">
        <f>SUM(I122,I123,I124,I125,I128,I129,I130,I131)</f>
        <v>0.72788952383962957</v>
      </c>
      <c r="J132" s="33">
        <f t="shared" ref="J132" si="47">SUM(J122,J123,J124,J125,J128,J129,J130,J131)</f>
        <v>0</v>
      </c>
    </row>
    <row r="133" spans="1:10" ht="60.75" customHeight="1" x14ac:dyDescent="0.25">
      <c r="A133" s="294"/>
      <c r="B133" s="108"/>
      <c r="C133" s="130" t="s">
        <v>204</v>
      </c>
      <c r="D133" s="233" t="s">
        <v>205</v>
      </c>
      <c r="E133" s="237">
        <v>30000</v>
      </c>
      <c r="F133" s="210">
        <v>2</v>
      </c>
      <c r="G133" s="234">
        <f>E133*F133</f>
        <v>60000</v>
      </c>
      <c r="H133" s="235">
        <f>$J$7</f>
        <v>144252.66</v>
      </c>
      <c r="I133" s="236">
        <f>G133/H133</f>
        <v>0.41593687076550268</v>
      </c>
      <c r="J133" s="209"/>
    </row>
    <row r="134" spans="1:10" ht="60" x14ac:dyDescent="0.25">
      <c r="A134" s="294"/>
      <c r="B134" s="108"/>
      <c r="C134" s="206" t="s">
        <v>202</v>
      </c>
      <c r="D134" s="94" t="s">
        <v>203</v>
      </c>
      <c r="E134" s="225"/>
      <c r="F134" s="206"/>
      <c r="G134" s="221">
        <v>10000</v>
      </c>
      <c r="H134" s="222">
        <f>$J$7</f>
        <v>144252.66</v>
      </c>
      <c r="I134" s="219">
        <f>G134/H134</f>
        <v>6.9322811794250441E-2</v>
      </c>
      <c r="J134" s="185" t="s">
        <v>38</v>
      </c>
    </row>
    <row r="135" spans="1:10" ht="30" x14ac:dyDescent="0.25">
      <c r="A135" s="295"/>
      <c r="B135" s="110"/>
      <c r="C135" s="206" t="s">
        <v>233</v>
      </c>
      <c r="D135" s="94" t="s">
        <v>232</v>
      </c>
      <c r="E135" s="226"/>
      <c r="F135" s="226"/>
      <c r="G135" s="223">
        <v>15000</v>
      </c>
      <c r="H135" s="222">
        <f>$J$7</f>
        <v>144252.66</v>
      </c>
      <c r="I135" s="219">
        <f>G135/H135</f>
        <v>0.10398421769137567</v>
      </c>
      <c r="J135" s="185" t="s">
        <v>38</v>
      </c>
    </row>
    <row r="136" spans="1:10" ht="15.75" thickBot="1" x14ac:dyDescent="0.3">
      <c r="A136" s="6" t="s">
        <v>14</v>
      </c>
      <c r="B136" s="109"/>
      <c r="C136" s="7"/>
      <c r="D136" s="16"/>
      <c r="E136" s="17"/>
      <c r="F136" s="16"/>
      <c r="G136" s="24">
        <f>SUM(G133:G135)</f>
        <v>85000</v>
      </c>
      <c r="H136" s="37"/>
      <c r="I136" s="78">
        <f>SUM(I133:I135)</f>
        <v>0.58924390025112872</v>
      </c>
      <c r="J136" s="33">
        <f>SUM(J133:J135)</f>
        <v>0</v>
      </c>
    </row>
    <row r="137" spans="1:10" ht="60" x14ac:dyDescent="0.25">
      <c r="A137" s="293" t="s">
        <v>215</v>
      </c>
      <c r="B137" s="107"/>
      <c r="C137" s="170" t="s">
        <v>57</v>
      </c>
      <c r="D137" s="148" t="s">
        <v>58</v>
      </c>
      <c r="E137" s="229"/>
      <c r="F137" s="148"/>
      <c r="G137" s="213">
        <f>(9415012*0.3)/100+(2530*1.5/100)/2</f>
        <v>28264.010999999999</v>
      </c>
      <c r="H137" s="227">
        <f>$J$7</f>
        <v>144252.66</v>
      </c>
      <c r="I137" s="153">
        <f>G137/H137</f>
        <v>0.19593407151036243</v>
      </c>
      <c r="J137" s="154" t="s">
        <v>38</v>
      </c>
    </row>
    <row r="138" spans="1:10" x14ac:dyDescent="0.25">
      <c r="A138" s="294"/>
      <c r="B138" s="108"/>
      <c r="C138" s="100" t="s">
        <v>21</v>
      </c>
      <c r="D138" s="94" t="s">
        <v>40</v>
      </c>
      <c r="E138" s="230"/>
      <c r="F138" s="100"/>
      <c r="G138" s="217">
        <f>15000</f>
        <v>15000</v>
      </c>
      <c r="H138" s="228">
        <f>$J$7</f>
        <v>144252.66</v>
      </c>
      <c r="I138" s="97">
        <f>G138/H138</f>
        <v>0.10398421769137567</v>
      </c>
      <c r="J138" s="98" t="s">
        <v>38</v>
      </c>
    </row>
    <row r="139" spans="1:10" ht="30" x14ac:dyDescent="0.25">
      <c r="A139" s="294"/>
      <c r="B139" s="110"/>
      <c r="C139" s="100" t="s">
        <v>27</v>
      </c>
      <c r="D139" s="94" t="s">
        <v>39</v>
      </c>
      <c r="E139" s="230"/>
      <c r="F139" s="100"/>
      <c r="G139" s="217">
        <v>10000</v>
      </c>
      <c r="H139" s="228">
        <f>$J$7</f>
        <v>144252.66</v>
      </c>
      <c r="I139" s="97">
        <f>G139/H139</f>
        <v>6.9322811794250441E-2</v>
      </c>
      <c r="J139" s="98" t="s">
        <v>38</v>
      </c>
    </row>
    <row r="140" spans="1:10" ht="15.75" thickBot="1" x14ac:dyDescent="0.3">
      <c r="A140" s="6" t="s">
        <v>14</v>
      </c>
      <c r="B140" s="109"/>
      <c r="C140" s="7"/>
      <c r="D140" s="39"/>
      <c r="E140" s="25"/>
      <c r="F140" s="7"/>
      <c r="G140" s="26">
        <f>SUM(G137:G139)</f>
        <v>53264.010999999999</v>
      </c>
      <c r="H140" s="37"/>
      <c r="I140" s="78">
        <f>SUM(I137:I139)</f>
        <v>0.36924110099598856</v>
      </c>
      <c r="J140" s="33">
        <f>SUM(J137:J139)</f>
        <v>0</v>
      </c>
    </row>
    <row r="141" spans="1:10" ht="45" x14ac:dyDescent="0.25">
      <c r="A141" s="70" t="s">
        <v>216</v>
      </c>
      <c r="B141" s="113"/>
      <c r="C141" s="124" t="s">
        <v>28</v>
      </c>
      <c r="D141" s="148" t="s">
        <v>56</v>
      </c>
      <c r="E141" s="224"/>
      <c r="F141" s="124"/>
      <c r="G141" s="203">
        <v>20000</v>
      </c>
      <c r="H141" s="204">
        <v>144252.66</v>
      </c>
      <c r="I141" s="205">
        <f>G141/H141</f>
        <v>0.13864562358850088</v>
      </c>
      <c r="J141" s="172" t="s">
        <v>38</v>
      </c>
    </row>
    <row r="142" spans="1:10" ht="15.75" thickBot="1" x14ac:dyDescent="0.3">
      <c r="A142" s="6" t="s">
        <v>14</v>
      </c>
      <c r="B142" s="109"/>
      <c r="C142" s="7"/>
      <c r="D142" s="7"/>
      <c r="E142" s="25"/>
      <c r="F142" s="7"/>
      <c r="G142" s="26">
        <f>SUM(G141)</f>
        <v>20000</v>
      </c>
      <c r="H142" s="37"/>
      <c r="I142" s="78">
        <f>SUM(I141)</f>
        <v>0.13864562358850088</v>
      </c>
      <c r="J142" s="33">
        <f t="shared" ref="J142" si="48">SUM(J141)</f>
        <v>0</v>
      </c>
    </row>
    <row r="143" spans="1:10" ht="30.75" thickBot="1" x14ac:dyDescent="0.3">
      <c r="A143" s="19" t="s">
        <v>218</v>
      </c>
      <c r="B143" s="112"/>
      <c r="C143" s="27"/>
      <c r="D143" s="28"/>
      <c r="E143" s="29"/>
      <c r="F143" s="27"/>
      <c r="G143" s="30">
        <f>(G16+G30+G44+G75+G77+G121+G132+G136+G140+G142)</f>
        <v>2514763.4431839082</v>
      </c>
      <c r="H143" s="38"/>
      <c r="I143" s="79">
        <f>(I16+I30+I44+I75+I77+I121+I132+I136+I140+I142)</f>
        <v>16.317435277685053</v>
      </c>
      <c r="J143" s="35">
        <f>(J16+J30+J44+J75+J77+J121+J132+J136+J140+J142)</f>
        <v>770</v>
      </c>
    </row>
    <row r="144" spans="1:10" ht="120.75" thickBot="1" x14ac:dyDescent="0.3">
      <c r="A144" s="31" t="s">
        <v>217</v>
      </c>
      <c r="B144" s="114"/>
      <c r="C144" s="270" t="s">
        <v>52</v>
      </c>
      <c r="D144" s="52" t="s">
        <v>235</v>
      </c>
      <c r="E144" s="53">
        <v>0.1</v>
      </c>
      <c r="F144" s="32"/>
      <c r="G144" s="54">
        <f>G143*0.1</f>
        <v>251476.34431839082</v>
      </c>
      <c r="H144" s="74">
        <f>$J$7</f>
        <v>144252.66</v>
      </c>
      <c r="I144" s="80">
        <f>G144/H144</f>
        <v>1.7433047287889929</v>
      </c>
      <c r="J144" s="36" t="s">
        <v>38</v>
      </c>
    </row>
    <row r="145" spans="1:10" ht="30.75" thickBot="1" x14ac:dyDescent="0.3">
      <c r="A145" s="19" t="s">
        <v>219</v>
      </c>
      <c r="B145" s="277"/>
      <c r="C145" s="278"/>
      <c r="D145" s="278"/>
      <c r="E145" s="278"/>
      <c r="F145" s="278"/>
      <c r="G145" s="279">
        <f>G143+G144</f>
        <v>2766239.7875022991</v>
      </c>
      <c r="H145" s="280"/>
      <c r="I145" s="281">
        <f>I143+I144</f>
        <v>18.060740006474045</v>
      </c>
      <c r="J145" s="282">
        <f>J30</f>
        <v>770</v>
      </c>
    </row>
    <row r="146" spans="1:10" s="13" customFormat="1" ht="18.75" x14ac:dyDescent="0.25">
      <c r="A146" s="11"/>
      <c r="B146" s="115"/>
      <c r="C146" s="11"/>
      <c r="D146" s="11"/>
      <c r="E146" s="11"/>
      <c r="F146" s="11"/>
      <c r="G146" s="12"/>
      <c r="H146" s="12"/>
      <c r="I146" s="12"/>
      <c r="J146" s="12"/>
    </row>
    <row r="147" spans="1:10" ht="15.75" thickBot="1" x14ac:dyDescent="0.3">
      <c r="C147" s="62"/>
      <c r="D147" s="62"/>
      <c r="E147" s="62"/>
      <c r="F147" s="62"/>
      <c r="G147" s="10"/>
    </row>
    <row r="148" spans="1:10" ht="18" customHeight="1" x14ac:dyDescent="0.25">
      <c r="C148" s="62"/>
      <c r="D148" s="289" t="s">
        <v>64</v>
      </c>
      <c r="E148" s="290"/>
      <c r="F148" s="290"/>
      <c r="G148" s="290"/>
      <c r="H148" s="291"/>
      <c r="I148" s="68"/>
    </row>
    <row r="149" spans="1:10" ht="19.5" customHeight="1" x14ac:dyDescent="0.25">
      <c r="D149" s="283" t="s">
        <v>236</v>
      </c>
      <c r="E149" s="284"/>
      <c r="F149" s="284"/>
      <c r="G149" s="284"/>
      <c r="H149" s="285"/>
      <c r="I149" s="69"/>
    </row>
    <row r="150" spans="1:10" ht="22.5" customHeight="1" thickBot="1" x14ac:dyDescent="0.3">
      <c r="D150" s="286" t="s">
        <v>237</v>
      </c>
      <c r="E150" s="287"/>
      <c r="F150" s="287"/>
      <c r="G150" s="287"/>
      <c r="H150" s="288"/>
      <c r="I150" s="69"/>
    </row>
    <row r="151" spans="1:10" x14ac:dyDescent="0.25">
      <c r="B151" s="4"/>
      <c r="C151" s="62"/>
      <c r="D151" s="62"/>
      <c r="G151" s="14"/>
      <c r="H151" s="10"/>
    </row>
    <row r="152" spans="1:10" x14ac:dyDescent="0.25">
      <c r="B152" s="4"/>
      <c r="G152" s="15"/>
      <c r="H152" s="15"/>
      <c r="I152" s="81">
        <f>I145*J7</f>
        <v>2605309.7875022981</v>
      </c>
      <c r="J152" s="81">
        <f>J145*J5</f>
        <v>160930</v>
      </c>
    </row>
    <row r="155" spans="1:10" x14ac:dyDescent="0.25">
      <c r="I155" s="81"/>
    </row>
  </sheetData>
  <mergeCells count="19">
    <mergeCell ref="A45:A74"/>
    <mergeCell ref="A10:A15"/>
    <mergeCell ref="A78:A120"/>
    <mergeCell ref="K31:K36"/>
    <mergeCell ref="K57:K62"/>
    <mergeCell ref="G1:J1"/>
    <mergeCell ref="A3:J3"/>
    <mergeCell ref="D5:I5"/>
    <mergeCell ref="D7:I7"/>
    <mergeCell ref="A31:A43"/>
    <mergeCell ref="D6:I6"/>
    <mergeCell ref="A17:A29"/>
    <mergeCell ref="D149:H149"/>
    <mergeCell ref="D150:H150"/>
    <mergeCell ref="D148:H148"/>
    <mergeCell ref="K78:K83"/>
    <mergeCell ref="A122:A131"/>
    <mergeCell ref="A133:A135"/>
    <mergeCell ref="A137:A139"/>
  </mergeCells>
  <pageMargins left="0.11811023622047245" right="0.11811023622047245" top="0.35433070866141736" bottom="0.35433070866141736" header="0.31496062992125984" footer="0.31496062992125984"/>
  <pageSetup paperSize="9" scale="53" fitToHeight="0" orientation="landscape" horizontalDpi="300" r:id="rId1"/>
  <ignoredErrors>
    <ignoredError sqref="H21 G20 G30 I30 I24 I37 H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ФЭО 21-22</vt:lpstr>
      <vt:lpstr>'ФЭО 21-22'!Заголовки_для_печати</vt:lpstr>
      <vt:lpstr>'ФЭО 21-22'!Область_печати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Artem Sannov</cp:lastModifiedBy>
  <cp:lastPrinted>2021-03-09T19:19:54Z</cp:lastPrinted>
  <dcterms:created xsi:type="dcterms:W3CDTF">2016-06-14T14:33:32Z</dcterms:created>
  <dcterms:modified xsi:type="dcterms:W3CDTF">2021-03-09T19:20:02Z</dcterms:modified>
</cp:coreProperties>
</file>